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ашбюро\Desktop\Виконання планів 2019р+4кв\ЖЕК7\"/>
    </mc:Choice>
  </mc:AlternateContent>
  <bookViews>
    <workbookView xWindow="0" yWindow="0" windowWidth="19200" windowHeight="11595" tabRatio="956" firstSheet="1" activeTab="8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  <sheet name="розшифровка" sheetId="25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Коефіцієнти'!$A$1:$I$16</definedName>
    <definedName name="_xlnm.Print_Area" localSheetId="2">'1. Фін результат'!$A$1:$I$92</definedName>
    <definedName name="_xlnm.Print_Area" localSheetId="7">'6.1. Інша інфо_1'!$A$1:$P$76</definedName>
    <definedName name="_xlnm.Print_Area" localSheetId="8">'6.2. Інша інфо_2'!$A$1:$AO$87</definedName>
    <definedName name="_xlnm.Print_Area" localSheetId="5">'IV. Кап. інвестиції'!$A$1:$H$19</definedName>
    <definedName name="_xlnm.Print_Area" localSheetId="3">'ІІ. Розр. з бюджетом'!$A$1:$H$35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</workbook>
</file>

<file path=xl/calcChain.xml><?xml version="1.0" encoding="utf-8"?>
<calcChain xmlns="http://schemas.openxmlformats.org/spreadsheetml/2006/main">
  <c r="D83" i="2" l="1"/>
  <c r="D82" i="2"/>
  <c r="F83" i="2"/>
  <c r="C51" i="25" l="1"/>
  <c r="C49" i="25" l="1"/>
  <c r="D30" i="19"/>
  <c r="D18" i="19"/>
  <c r="D16" i="19"/>
  <c r="D17" i="18" l="1"/>
  <c r="D18" i="18"/>
  <c r="F18" i="18" s="1"/>
  <c r="F15" i="18"/>
  <c r="D15" i="18"/>
  <c r="D14" i="18"/>
  <c r="F14" i="18"/>
  <c r="F12" i="18"/>
  <c r="F8" i="18"/>
  <c r="C51" i="20" l="1"/>
  <c r="E51" i="20" l="1"/>
  <c r="D48" i="20"/>
  <c r="E48" i="20"/>
  <c r="F48" i="20"/>
  <c r="F51" i="20"/>
  <c r="D51" i="20"/>
  <c r="D49" i="25"/>
  <c r="I9" i="18" l="1"/>
  <c r="J23" i="10" l="1"/>
  <c r="J19" i="10"/>
  <c r="D58" i="18" l="1"/>
  <c r="D33" i="18"/>
  <c r="D29" i="19"/>
  <c r="D28" i="19"/>
  <c r="D24" i="19"/>
  <c r="D7" i="19"/>
  <c r="D17" i="19" l="1"/>
  <c r="D10" i="3"/>
  <c r="C24" i="25"/>
  <c r="C13" i="25"/>
  <c r="D68" i="2"/>
  <c r="D57" i="2"/>
  <c r="D43" i="2"/>
  <c r="D37" i="2"/>
  <c r="D36" i="2"/>
  <c r="D35" i="2"/>
  <c r="D31" i="2"/>
  <c r="D30" i="2"/>
  <c r="D29" i="2"/>
  <c r="D28" i="2"/>
  <c r="D27" i="2"/>
  <c r="D19" i="2"/>
  <c r="D16" i="2"/>
  <c r="D15" i="2"/>
  <c r="D13" i="2"/>
  <c r="D12" i="2"/>
  <c r="D11" i="2"/>
  <c r="D10" i="2"/>
  <c r="D9" i="2"/>
  <c r="D7" i="2"/>
  <c r="D87" i="2"/>
  <c r="D86" i="2"/>
  <c r="D85" i="2"/>
  <c r="D84" i="2"/>
  <c r="D81" i="2"/>
  <c r="D22" i="10" l="1"/>
  <c r="D18" i="10"/>
  <c r="D24" i="10"/>
  <c r="D23" i="10"/>
  <c r="D20" i="10"/>
  <c r="D19" i="10"/>
  <c r="D17" i="10"/>
  <c r="D21" i="10" l="1"/>
  <c r="K56" i="10"/>
  <c r="L46" i="10"/>
  <c r="L45" i="10"/>
  <c r="L44" i="10"/>
  <c r="F31" i="10"/>
  <c r="D31" i="10"/>
  <c r="B31" i="10"/>
  <c r="J30" i="10"/>
  <c r="F30" i="10"/>
  <c r="D30" i="10"/>
  <c r="B30" i="10"/>
  <c r="J29" i="10"/>
  <c r="F29" i="10"/>
  <c r="F27" i="10"/>
  <c r="D27" i="10"/>
  <c r="B27" i="10"/>
  <c r="J26" i="10"/>
  <c r="F26" i="10"/>
  <c r="D26" i="10"/>
  <c r="B26" i="10"/>
  <c r="J25" i="10"/>
  <c r="F25" i="10"/>
  <c r="D25" i="10"/>
  <c r="F24" i="10"/>
  <c r="H24" i="10" s="1"/>
  <c r="J31" i="10"/>
  <c r="H23" i="10"/>
  <c r="H31" i="10" s="1"/>
  <c r="H22" i="10"/>
  <c r="H30" i="10" s="1"/>
  <c r="D29" i="10"/>
  <c r="B21" i="10"/>
  <c r="B29" i="10" s="1"/>
  <c r="F20" i="10"/>
  <c r="H20" i="10" s="1"/>
  <c r="H28" i="10" s="1"/>
  <c r="J27" i="10"/>
  <c r="H19" i="10"/>
  <c r="H27" i="10" s="1"/>
  <c r="H18" i="10"/>
  <c r="H26" i="10" s="1"/>
  <c r="B17" i="10"/>
  <c r="B25" i="10" s="1"/>
  <c r="J16" i="10"/>
  <c r="H16" i="10"/>
  <c r="F16" i="10"/>
  <c r="F28" i="10" s="1"/>
  <c r="D16" i="10"/>
  <c r="D32" i="10" s="1"/>
  <c r="B16" i="10"/>
  <c r="B32" i="10" s="1"/>
  <c r="N15" i="10"/>
  <c r="L15" i="10"/>
  <c r="N14" i="10"/>
  <c r="L14" i="10"/>
  <c r="N13" i="10"/>
  <c r="L13" i="10"/>
  <c r="N16" i="10" l="1"/>
  <c r="H32" i="10"/>
  <c r="D28" i="10"/>
  <c r="N30" i="10"/>
  <c r="L31" i="10"/>
  <c r="N31" i="10"/>
  <c r="N26" i="10"/>
  <c r="N27" i="10"/>
  <c r="L27" i="10"/>
  <c r="F32" i="10"/>
  <c r="H17" i="10"/>
  <c r="L19" i="10"/>
  <c r="L26" i="10"/>
  <c r="L30" i="10"/>
  <c r="L16" i="10"/>
  <c r="N18" i="10"/>
  <c r="N19" i="10"/>
  <c r="H21" i="10"/>
  <c r="L22" i="10"/>
  <c r="L23" i="10"/>
  <c r="J24" i="10"/>
  <c r="B28" i="10"/>
  <c r="L18" i="10"/>
  <c r="J20" i="10"/>
  <c r="N22" i="10"/>
  <c r="N23" i="10"/>
  <c r="C46" i="25"/>
  <c r="N20" i="10" l="1"/>
  <c r="J28" i="10"/>
  <c r="L20" i="10"/>
  <c r="L21" i="10"/>
  <c r="H29" i="10"/>
  <c r="N21" i="10"/>
  <c r="N17" i="10"/>
  <c r="L17" i="10"/>
  <c r="H25" i="10"/>
  <c r="L24" i="10"/>
  <c r="N24" i="10"/>
  <c r="J32" i="10"/>
  <c r="L28" i="10" l="1"/>
  <c r="N28" i="10"/>
  <c r="N25" i="10"/>
  <c r="L25" i="10"/>
  <c r="L29" i="10"/>
  <c r="N29" i="10"/>
  <c r="L32" i="10"/>
  <c r="N32" i="10"/>
  <c r="E30" i="19" l="1"/>
  <c r="F82" i="2" l="1"/>
  <c r="C21" i="25" l="1"/>
  <c r="C10" i="25"/>
  <c r="D51" i="25"/>
  <c r="D42" i="25"/>
  <c r="D39" i="25"/>
  <c r="D36" i="25"/>
  <c r="D24" i="25"/>
  <c r="D21" i="25"/>
  <c r="D10" i="25"/>
  <c r="D2" i="25"/>
  <c r="D54" i="2"/>
  <c r="D25" i="2"/>
  <c r="D8" i="3" l="1"/>
  <c r="F8" i="21" l="1"/>
  <c r="E8" i="21"/>
  <c r="D8" i="21"/>
  <c r="C8" i="21"/>
  <c r="C10" i="21" s="1"/>
  <c r="C36" i="25"/>
  <c r="H82" i="2"/>
  <c r="B8" i="21"/>
  <c r="E17" i="18"/>
  <c r="E13" i="18" s="1"/>
  <c r="H30" i="19"/>
  <c r="D7" i="18"/>
  <c r="D13" i="18"/>
  <c r="F13" i="18"/>
  <c r="G13" i="18" s="1"/>
  <c r="E8" i="3"/>
  <c r="F8" i="3"/>
  <c r="AD34" i="9" s="1"/>
  <c r="AD39" i="9" s="1"/>
  <c r="C8" i="3"/>
  <c r="C39" i="20" s="1"/>
  <c r="D57" i="18"/>
  <c r="E57" i="18"/>
  <c r="F57" i="18"/>
  <c r="C57" i="18"/>
  <c r="D45" i="18"/>
  <c r="E45" i="18"/>
  <c r="F45" i="18"/>
  <c r="C45" i="18"/>
  <c r="D21" i="18"/>
  <c r="E21" i="18"/>
  <c r="F21" i="18"/>
  <c r="H21" i="18" s="1"/>
  <c r="C21" i="18"/>
  <c r="D10" i="11"/>
  <c r="C42" i="20" s="1"/>
  <c r="E10" i="11"/>
  <c r="D42" i="20" s="1"/>
  <c r="F10" i="11"/>
  <c r="E42" i="20" s="1"/>
  <c r="G10" i="11"/>
  <c r="F42" i="20" s="1"/>
  <c r="E11" i="11"/>
  <c r="F11" i="11"/>
  <c r="G11" i="11"/>
  <c r="D6" i="22"/>
  <c r="D28" i="20"/>
  <c r="D29" i="20"/>
  <c r="D30" i="20"/>
  <c r="D32" i="20"/>
  <c r="D11" i="11"/>
  <c r="E13" i="20"/>
  <c r="F43" i="10" s="1"/>
  <c r="F13" i="20"/>
  <c r="I47" i="10" s="1"/>
  <c r="C13" i="20"/>
  <c r="H48" i="20"/>
  <c r="C48" i="20"/>
  <c r="C6" i="22"/>
  <c r="C2" i="25"/>
  <c r="N8" i="9"/>
  <c r="N9" i="9"/>
  <c r="N10" i="9"/>
  <c r="N11" i="9"/>
  <c r="N12" i="9"/>
  <c r="R13" i="9"/>
  <c r="U13" i="9"/>
  <c r="X13" i="9"/>
  <c r="AA13" i="9"/>
  <c r="AD13" i="9"/>
  <c r="AC21" i="9"/>
  <c r="AC22" i="9"/>
  <c r="AC23" i="9"/>
  <c r="AC24" i="9"/>
  <c r="AC25" i="9"/>
  <c r="W26" i="9"/>
  <c r="Y26" i="9"/>
  <c r="AA26" i="9"/>
  <c r="Q34" i="9"/>
  <c r="Y34" i="9"/>
  <c r="Q35" i="9"/>
  <c r="Y35" i="9"/>
  <c r="Q36" i="9"/>
  <c r="Y36" i="9"/>
  <c r="Q37" i="9"/>
  <c r="Y37" i="9"/>
  <c r="Q38" i="9"/>
  <c r="Y38" i="9"/>
  <c r="M39" i="9"/>
  <c r="O39" i="9"/>
  <c r="U39" i="9"/>
  <c r="W39" i="9"/>
  <c r="Q46" i="9"/>
  <c r="Y46" i="9"/>
  <c r="AD46" i="9"/>
  <c r="Q47" i="9"/>
  <c r="Y47" i="9"/>
  <c r="AC47" i="9"/>
  <c r="AD47" i="9"/>
  <c r="Q48" i="9"/>
  <c r="Y48" i="9"/>
  <c r="AC48" i="9"/>
  <c r="AD48" i="9"/>
  <c r="Q49" i="9"/>
  <c r="Y49" i="9"/>
  <c r="AC49" i="9"/>
  <c r="AD49" i="9"/>
  <c r="Q50" i="9"/>
  <c r="Y50" i="9"/>
  <c r="AC50" i="9"/>
  <c r="AD50" i="9"/>
  <c r="M51" i="9"/>
  <c r="O51" i="9"/>
  <c r="U51" i="9"/>
  <c r="W51" i="9"/>
  <c r="N60" i="9"/>
  <c r="N61" i="9"/>
  <c r="N62" i="9"/>
  <c r="N63" i="9"/>
  <c r="N64" i="9"/>
  <c r="F65" i="9"/>
  <c r="H65" i="9"/>
  <c r="J65" i="9"/>
  <c r="L65" i="9"/>
  <c r="P65" i="9"/>
  <c r="R65" i="9"/>
  <c r="T65" i="9"/>
  <c r="G9" i="3"/>
  <c r="H9" i="3"/>
  <c r="G10" i="3"/>
  <c r="H10" i="3"/>
  <c r="G11" i="3"/>
  <c r="H11" i="3"/>
  <c r="G12" i="3"/>
  <c r="H12" i="3"/>
  <c r="G13" i="3"/>
  <c r="H13" i="3"/>
  <c r="G14" i="3"/>
  <c r="H14" i="3"/>
  <c r="C7" i="18"/>
  <c r="E7" i="18"/>
  <c r="F7" i="18"/>
  <c r="G8" i="18"/>
  <c r="H8" i="18"/>
  <c r="G9" i="18"/>
  <c r="H9" i="18"/>
  <c r="G10" i="18"/>
  <c r="H10" i="18"/>
  <c r="G11" i="18"/>
  <c r="H11" i="18"/>
  <c r="G12" i="18"/>
  <c r="H12" i="18"/>
  <c r="C13" i="18"/>
  <c r="H14" i="18"/>
  <c r="H15" i="18"/>
  <c r="H16" i="18"/>
  <c r="H18" i="18"/>
  <c r="G22" i="18"/>
  <c r="H22" i="18"/>
  <c r="G23" i="18"/>
  <c r="H23" i="18"/>
  <c r="G24" i="18"/>
  <c r="H24" i="18"/>
  <c r="G25" i="18"/>
  <c r="H25" i="18"/>
  <c r="G26" i="18"/>
  <c r="H26" i="18"/>
  <c r="G27" i="18"/>
  <c r="H27" i="18"/>
  <c r="G28" i="18"/>
  <c r="H28" i="18"/>
  <c r="G29" i="18"/>
  <c r="H29" i="18"/>
  <c r="G30" i="18"/>
  <c r="H30" i="18"/>
  <c r="G31" i="18"/>
  <c r="H31" i="18"/>
  <c r="C32" i="18"/>
  <c r="D32" i="18"/>
  <c r="E32" i="18"/>
  <c r="F32" i="18"/>
  <c r="G33" i="18"/>
  <c r="H33" i="18"/>
  <c r="G34" i="18"/>
  <c r="H34" i="18"/>
  <c r="G35" i="18"/>
  <c r="H35" i="18"/>
  <c r="G36" i="18"/>
  <c r="H36" i="18"/>
  <c r="G37" i="18"/>
  <c r="H37" i="18"/>
  <c r="G38" i="18"/>
  <c r="H38" i="18"/>
  <c r="G39" i="18"/>
  <c r="H39" i="18"/>
  <c r="G40" i="18"/>
  <c r="H40" i="18"/>
  <c r="C41" i="18"/>
  <c r="D41" i="18"/>
  <c r="E41" i="18"/>
  <c r="F41" i="18"/>
  <c r="H41" i="18" s="1"/>
  <c r="G46" i="18"/>
  <c r="H46" i="18"/>
  <c r="G47" i="18"/>
  <c r="H47" i="18"/>
  <c r="G48" i="18"/>
  <c r="H48" i="18"/>
  <c r="G49" i="18"/>
  <c r="H49" i="18"/>
  <c r="G50" i="18"/>
  <c r="H50" i="18"/>
  <c r="G51" i="18"/>
  <c r="H51" i="18"/>
  <c r="G52" i="18"/>
  <c r="H52" i="18"/>
  <c r="G53" i="18"/>
  <c r="H53" i="18"/>
  <c r="G54" i="18"/>
  <c r="H54" i="18"/>
  <c r="G55" i="18"/>
  <c r="H55" i="18"/>
  <c r="G56" i="18"/>
  <c r="H56" i="18"/>
  <c r="G58" i="18"/>
  <c r="H58" i="18"/>
  <c r="G59" i="18"/>
  <c r="H59" i="18"/>
  <c r="G60" i="18"/>
  <c r="H60" i="18"/>
  <c r="G61" i="18"/>
  <c r="H61" i="18"/>
  <c r="G62" i="18"/>
  <c r="H62" i="18"/>
  <c r="G63" i="18"/>
  <c r="H63" i="18"/>
  <c r="G64" i="18"/>
  <c r="H64" i="18"/>
  <c r="G65" i="18"/>
  <c r="H65" i="18"/>
  <c r="G66" i="18"/>
  <c r="H66" i="18"/>
  <c r="G67" i="18"/>
  <c r="H67" i="18"/>
  <c r="G69" i="18"/>
  <c r="H69" i="18"/>
  <c r="G70" i="18"/>
  <c r="H70" i="18"/>
  <c r="G71" i="18"/>
  <c r="H71" i="18"/>
  <c r="G6" i="19"/>
  <c r="H6" i="19"/>
  <c r="H7" i="19"/>
  <c r="G8" i="19"/>
  <c r="H8" i="19"/>
  <c r="H9" i="19"/>
  <c r="H10" i="19"/>
  <c r="H11" i="19"/>
  <c r="H12" i="19"/>
  <c r="H13" i="19"/>
  <c r="G16" i="19"/>
  <c r="H16" i="19"/>
  <c r="G17" i="19"/>
  <c r="H17" i="19"/>
  <c r="G18" i="19"/>
  <c r="H18" i="19"/>
  <c r="H19" i="19"/>
  <c r="G21" i="19"/>
  <c r="H21" i="19"/>
  <c r="G22" i="19"/>
  <c r="H22" i="19"/>
  <c r="G23" i="19"/>
  <c r="H23" i="19"/>
  <c r="G24" i="19"/>
  <c r="H24" i="19"/>
  <c r="C25" i="19"/>
  <c r="C20" i="19" s="1"/>
  <c r="C31" i="19" s="1"/>
  <c r="C33" i="20" s="1"/>
  <c r="D25" i="19"/>
  <c r="D20" i="19" s="1"/>
  <c r="E25" i="19"/>
  <c r="E20" i="19" s="1"/>
  <c r="F25" i="19"/>
  <c r="G26" i="19"/>
  <c r="H26" i="19"/>
  <c r="G27" i="19"/>
  <c r="H27" i="19"/>
  <c r="G28" i="19"/>
  <c r="H28" i="19"/>
  <c r="G29" i="19"/>
  <c r="H29" i="19"/>
  <c r="G30" i="19"/>
  <c r="G7" i="2"/>
  <c r="H7" i="2"/>
  <c r="C8" i="2"/>
  <c r="C17" i="2" s="1"/>
  <c r="C15" i="20" s="1"/>
  <c r="D8" i="2"/>
  <c r="E8" i="2"/>
  <c r="E17" i="2" s="1"/>
  <c r="E15" i="20" s="1"/>
  <c r="F8" i="2"/>
  <c r="F14" i="20" s="1"/>
  <c r="G12" i="11" s="1"/>
  <c r="F43" i="20" s="1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9" i="2"/>
  <c r="H19" i="2"/>
  <c r="G20" i="2"/>
  <c r="C21" i="2"/>
  <c r="C16" i="20" s="1"/>
  <c r="D21" i="2"/>
  <c r="D16" i="20" s="1"/>
  <c r="E21" i="2"/>
  <c r="E16" i="20" s="1"/>
  <c r="F21" i="2"/>
  <c r="C44" i="2"/>
  <c r="C17" i="20" s="1"/>
  <c r="D44" i="2"/>
  <c r="D17" i="20" s="1"/>
  <c r="E44" i="2"/>
  <c r="F44" i="2"/>
  <c r="D52" i="2"/>
  <c r="D75" i="2" s="1"/>
  <c r="E52" i="2"/>
  <c r="E75" i="2" s="1"/>
  <c r="F52" i="2"/>
  <c r="C52" i="2"/>
  <c r="C75" i="2" s="1"/>
  <c r="G59" i="2"/>
  <c r="G60" i="2"/>
  <c r="G63" i="2"/>
  <c r="G64" i="2"/>
  <c r="G68" i="2"/>
  <c r="G69" i="2"/>
  <c r="G71" i="2"/>
  <c r="G73" i="2"/>
  <c r="C76" i="2"/>
  <c r="C20" i="20" s="1"/>
  <c r="E76" i="2"/>
  <c r="E20" i="20" s="1"/>
  <c r="F76" i="2"/>
  <c r="F20" i="20" s="1"/>
  <c r="C77" i="2"/>
  <c r="C21" i="20"/>
  <c r="E77" i="2"/>
  <c r="E21" i="20" s="1"/>
  <c r="F77" i="2"/>
  <c r="G77" i="2" s="1"/>
  <c r="C78" i="2"/>
  <c r="D78" i="2"/>
  <c r="E78" i="2"/>
  <c r="F78" i="2"/>
  <c r="G81" i="2"/>
  <c r="H81" i="2"/>
  <c r="G82" i="2"/>
  <c r="G83" i="2"/>
  <c r="H83" i="2"/>
  <c r="G84" i="2"/>
  <c r="H84" i="2"/>
  <c r="G85" i="2"/>
  <c r="H85" i="2"/>
  <c r="G86" i="2"/>
  <c r="H86" i="2"/>
  <c r="G87" i="2"/>
  <c r="H87" i="2"/>
  <c r="C88" i="2"/>
  <c r="D88" i="2"/>
  <c r="E88" i="2"/>
  <c r="F88" i="2"/>
  <c r="B13" i="20"/>
  <c r="D13" i="20"/>
  <c r="B14" i="20"/>
  <c r="B15" i="20"/>
  <c r="B16" i="20"/>
  <c r="B17" i="20"/>
  <c r="F17" i="20"/>
  <c r="B18" i="20"/>
  <c r="B19" i="20"/>
  <c r="B20" i="20"/>
  <c r="D20" i="20"/>
  <c r="B21" i="20"/>
  <c r="D21" i="20"/>
  <c r="B22" i="20"/>
  <c r="B23" i="20"/>
  <c r="C23" i="20"/>
  <c r="D23" i="20"/>
  <c r="E23" i="20"/>
  <c r="F23" i="20"/>
  <c r="B24" i="20"/>
  <c r="B28" i="20"/>
  <c r="C28" i="20"/>
  <c r="E28" i="20"/>
  <c r="F28" i="20"/>
  <c r="B29" i="20"/>
  <c r="C29" i="20"/>
  <c r="E29" i="20"/>
  <c r="F29" i="20"/>
  <c r="C30" i="20"/>
  <c r="E30" i="20"/>
  <c r="F30" i="20"/>
  <c r="B31" i="20"/>
  <c r="B32" i="20"/>
  <c r="C32" i="20"/>
  <c r="E32" i="20"/>
  <c r="F32" i="20"/>
  <c r="B33" i="20"/>
  <c r="C35" i="20"/>
  <c r="D35" i="20"/>
  <c r="E35" i="20"/>
  <c r="F35" i="20"/>
  <c r="G35" i="20"/>
  <c r="G36" i="20"/>
  <c r="G37" i="20"/>
  <c r="B39" i="20"/>
  <c r="D39" i="20"/>
  <c r="G45" i="20"/>
  <c r="H45" i="20"/>
  <c r="G46" i="20"/>
  <c r="H46" i="20"/>
  <c r="G47" i="20"/>
  <c r="H47" i="20"/>
  <c r="G48" i="20"/>
  <c r="G49" i="20"/>
  <c r="H49" i="20"/>
  <c r="G50" i="20"/>
  <c r="H50" i="20"/>
  <c r="G51" i="20"/>
  <c r="G52" i="20"/>
  <c r="H52" i="20"/>
  <c r="G53" i="20"/>
  <c r="H53" i="20"/>
  <c r="G54" i="20"/>
  <c r="H54" i="20"/>
  <c r="G76" i="2"/>
  <c r="AE49" i="9" l="1"/>
  <c r="AE48" i="9"/>
  <c r="F68" i="18"/>
  <c r="E39" i="20"/>
  <c r="AC34" i="9"/>
  <c r="G44" i="2"/>
  <c r="F47" i="10"/>
  <c r="E43" i="10"/>
  <c r="I43" i="10"/>
  <c r="L47" i="10"/>
  <c r="G30" i="20"/>
  <c r="H88" i="2"/>
  <c r="G21" i="18"/>
  <c r="H76" i="2"/>
  <c r="G45" i="18"/>
  <c r="H32" i="18"/>
  <c r="D68" i="18"/>
  <c r="C42" i="25"/>
  <c r="H23" i="20"/>
  <c r="G52" i="2"/>
  <c r="F75" i="2"/>
  <c r="G75" i="2" s="1"/>
  <c r="F17" i="2"/>
  <c r="F15" i="20" s="1"/>
  <c r="G15" i="20" s="1"/>
  <c r="H13" i="20"/>
  <c r="H51" i="20"/>
  <c r="C14" i="20"/>
  <c r="D12" i="11" s="1"/>
  <c r="C43" i="20" s="1"/>
  <c r="D31" i="20"/>
  <c r="D31" i="19"/>
  <c r="D33" i="20" s="1"/>
  <c r="G8" i="3"/>
  <c r="G8" i="2"/>
  <c r="G23" i="20"/>
  <c r="H25" i="19"/>
  <c r="C19" i="18"/>
  <c r="Y51" i="9"/>
  <c r="AE50" i="9"/>
  <c r="AD51" i="9"/>
  <c r="Q39" i="9"/>
  <c r="AC26" i="9"/>
  <c r="N13" i="9"/>
  <c r="E68" i="18"/>
  <c r="G68" i="18" s="1"/>
  <c r="C58" i="2"/>
  <c r="C19" i="20" s="1"/>
  <c r="H32" i="20"/>
  <c r="H29" i="20"/>
  <c r="H28" i="20"/>
  <c r="F21" i="20"/>
  <c r="G88" i="2"/>
  <c r="H21" i="2"/>
  <c r="E79" i="2"/>
  <c r="N65" i="9"/>
  <c r="Q51" i="9"/>
  <c r="H45" i="18"/>
  <c r="H30" i="20"/>
  <c r="G29" i="20"/>
  <c r="H57" i="18"/>
  <c r="G32" i="18"/>
  <c r="F19" i="18"/>
  <c r="F73" i="18" s="1"/>
  <c r="F72" i="18" s="1"/>
  <c r="F39" i="20"/>
  <c r="H39" i="20" s="1"/>
  <c r="D79" i="2"/>
  <c r="F16" i="20"/>
  <c r="H16" i="20" s="1"/>
  <c r="G78" i="2"/>
  <c r="D17" i="2"/>
  <c r="D15" i="20" s="1"/>
  <c r="H20" i="20"/>
  <c r="G20" i="20"/>
  <c r="G57" i="18"/>
  <c r="G28" i="20"/>
  <c r="F20" i="19"/>
  <c r="G20" i="19" s="1"/>
  <c r="H77" i="2"/>
  <c r="G41" i="18"/>
  <c r="F79" i="2"/>
  <c r="E17" i="20"/>
  <c r="H17" i="20" s="1"/>
  <c r="C31" i="20"/>
  <c r="H13" i="18"/>
  <c r="H8" i="3"/>
  <c r="H78" i="2"/>
  <c r="H44" i="2"/>
  <c r="G21" i="2"/>
  <c r="H8" i="2"/>
  <c r="G25" i="19"/>
  <c r="H17" i="18"/>
  <c r="G7" i="18"/>
  <c r="AE47" i="9"/>
  <c r="G13" i="20"/>
  <c r="D10" i="21"/>
  <c r="E10" i="21" s="1"/>
  <c r="F10" i="21" s="1"/>
  <c r="E14" i="20"/>
  <c r="H7" i="18"/>
  <c r="E19" i="18"/>
  <c r="G32" i="20"/>
  <c r="Y39" i="9"/>
  <c r="C68" i="18"/>
  <c r="D19" i="18"/>
  <c r="D73" i="18" s="1"/>
  <c r="D72" i="18" s="1"/>
  <c r="H11" i="11"/>
  <c r="H10" i="11"/>
  <c r="H68" i="18"/>
  <c r="E18" i="20"/>
  <c r="E31" i="20"/>
  <c r="E31" i="19"/>
  <c r="H52" i="2"/>
  <c r="E58" i="2"/>
  <c r="C79" i="2"/>
  <c r="D14" i="20"/>
  <c r="E12" i="11" s="1"/>
  <c r="D43" i="20" s="1"/>
  <c r="H35" i="20"/>
  <c r="H42" i="20"/>
  <c r="G42" i="20"/>
  <c r="G14" i="20" l="1"/>
  <c r="F12" i="11"/>
  <c r="AC39" i="9"/>
  <c r="AC46" i="9"/>
  <c r="D36" i="20"/>
  <c r="H43" i="10"/>
  <c r="E5" i="24" s="1"/>
  <c r="L43" i="10"/>
  <c r="E36" i="20"/>
  <c r="H20" i="19"/>
  <c r="F36" i="20"/>
  <c r="H17" i="2"/>
  <c r="G17" i="2"/>
  <c r="H15" i="20"/>
  <c r="F58" i="2"/>
  <c r="H58" i="2" s="1"/>
  <c r="C73" i="18"/>
  <c r="C72" i="18" s="1"/>
  <c r="C36" i="20" s="1"/>
  <c r="C67" i="2"/>
  <c r="C70" i="2" s="1"/>
  <c r="D37" i="20"/>
  <c r="G39" i="20"/>
  <c r="H14" i="20"/>
  <c r="G19" i="18"/>
  <c r="G73" i="18" s="1"/>
  <c r="H21" i="20"/>
  <c r="G21" i="20"/>
  <c r="H19" i="18"/>
  <c r="G16" i="20"/>
  <c r="D58" i="2"/>
  <c r="D19" i="20" s="1"/>
  <c r="F18" i="20"/>
  <c r="H18" i="20" s="1"/>
  <c r="D18" i="20"/>
  <c r="C18" i="20"/>
  <c r="H75" i="2"/>
  <c r="F31" i="20"/>
  <c r="G31" i="20" s="1"/>
  <c r="F31" i="19"/>
  <c r="F33" i="20" s="1"/>
  <c r="D5" i="24"/>
  <c r="F5" i="24" s="1"/>
  <c r="G79" i="2"/>
  <c r="H79" i="2"/>
  <c r="G17" i="20"/>
  <c r="E67" i="2"/>
  <c r="E19" i="20"/>
  <c r="E33" i="20"/>
  <c r="AE46" i="9" l="1"/>
  <c r="AE51" i="9" s="1"/>
  <c r="AC51" i="9"/>
  <c r="E43" i="20"/>
  <c r="H12" i="11"/>
  <c r="C37" i="20"/>
  <c r="E37" i="20"/>
  <c r="H73" i="18"/>
  <c r="F37" i="20"/>
  <c r="F67" i="2"/>
  <c r="H67" i="2" s="1"/>
  <c r="G58" i="2"/>
  <c r="F19" i="20"/>
  <c r="H19" i="20" s="1"/>
  <c r="C22" i="20"/>
  <c r="G31" i="19"/>
  <c r="G72" i="18"/>
  <c r="H36" i="20"/>
  <c r="H72" i="18"/>
  <c r="D67" i="2"/>
  <c r="D70" i="2" s="1"/>
  <c r="G18" i="20"/>
  <c r="H31" i="20"/>
  <c r="H31" i="19"/>
  <c r="D7" i="11"/>
  <c r="C41" i="20" s="1"/>
  <c r="C24" i="20"/>
  <c r="D8" i="11" s="1"/>
  <c r="C25" i="20" s="1"/>
  <c r="G33" i="20"/>
  <c r="H33" i="20"/>
  <c r="E70" i="2"/>
  <c r="E22" i="20"/>
  <c r="H43" i="20" l="1"/>
  <c r="G43" i="20"/>
  <c r="H37" i="20"/>
  <c r="F70" i="2"/>
  <c r="G7" i="11" s="1"/>
  <c r="F41" i="20" s="1"/>
  <c r="G67" i="2"/>
  <c r="F22" i="20"/>
  <c r="H22" i="20" s="1"/>
  <c r="G19" i="20"/>
  <c r="D22" i="20"/>
  <c r="E7" i="11"/>
  <c r="D41" i="20" s="1"/>
  <c r="D24" i="20"/>
  <c r="E8" i="11" s="1"/>
  <c r="D25" i="20" s="1"/>
  <c r="D14" i="19"/>
  <c r="E24" i="20"/>
  <c r="E14" i="19"/>
  <c r="F7" i="11"/>
  <c r="G22" i="20" l="1"/>
  <c r="F24" i="20"/>
  <c r="G8" i="11" s="1"/>
  <c r="E25" i="20" s="1"/>
  <c r="F14" i="19"/>
  <c r="H14" i="19" s="1"/>
  <c r="G70" i="2"/>
  <c r="H70" i="2"/>
  <c r="F8" i="11"/>
  <c r="E41" i="20"/>
  <c r="H7" i="11"/>
  <c r="H8" i="11" l="1"/>
  <c r="F25" i="20" s="1"/>
  <c r="H25" i="20" s="1"/>
  <c r="G14" i="19"/>
  <c r="G24" i="20"/>
  <c r="H24" i="20"/>
  <c r="G25" i="20"/>
  <c r="G41" i="20"/>
  <c r="H41" i="20"/>
</calcChain>
</file>

<file path=xl/sharedStrings.xml><?xml version="1.0" encoding="utf-8"?>
<sst xmlns="http://schemas.openxmlformats.org/spreadsheetml/2006/main" count="1639" uniqueCount="992">
  <si>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</si>
  <si>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</si>
  <si>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</si>
  <si>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</si>
  <si>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</si>
  <si>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</si>
  <si>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</si>
  <si>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</si>
  <si>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</si>
  <si>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</si>
  <si>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</si>
  <si>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</si>
  <si>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</si>
  <si>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</si>
  <si>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</si>
  <si>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</si>
  <si>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</si>
  <si>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</si>
  <si>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</si>
  <si>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</si>
  <si>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</si>
  <si>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</si>
  <si>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</si>
  <si>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</si>
  <si>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</si>
  <si>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Факт минулого року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</si>
  <si>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</si>
  <si>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</si>
  <si>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</si>
  <si>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</si>
  <si>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</si>
  <si>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</si>
  <si>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</si>
  <si>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</si>
  <si>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</si>
  <si>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</si>
  <si>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</si>
  <si>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</si>
  <si>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</si>
  <si>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</si>
  <si>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</si>
  <si>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</si>
  <si>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</si>
  <si>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</si>
  <si>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</si>
  <si>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</si>
  <si>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</si>
  <si>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</si>
  <si>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</si>
  <si>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</si>
  <si>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</si>
  <si>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</si>
  <si>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</si>
  <si>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</si>
  <si>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</si>
  <si>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</si>
  <si>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</si>
  <si>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</si>
  <si>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</si>
  <si>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</si>
  <si>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</si>
  <si>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</si>
  <si>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</si>
  <si>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</si>
  <si>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</si>
  <si>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</si>
  <si>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</si>
  <si>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</si>
  <si>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</si>
  <si>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</si>
  <si>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</si>
  <si>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</si>
  <si>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</si>
  <si>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</si>
  <si>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</si>
  <si>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</si>
  <si>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</si>
  <si>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</si>
  <si>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</si>
  <si>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</si>
  <si>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</si>
  <si>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</si>
  <si>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</si>
  <si>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</si>
  <si>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</si>
  <si>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>у тому числі:</t>
  </si>
  <si>
    <t>рентна плата за транспортування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</si>
  <si>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</si>
  <si>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</si>
  <si>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</si>
  <si>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</si>
  <si>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</si>
  <si>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</si>
  <si>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</si>
  <si>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</si>
  <si>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</si>
  <si>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</si>
  <si>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</si>
  <si>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</si>
  <si>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</si>
  <si>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</si>
  <si>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План минулого року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</si>
  <si>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</si>
  <si>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</si>
  <si>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</si>
  <si>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</si>
  <si>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</si>
  <si>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</si>
  <si>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</si>
  <si>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</si>
  <si>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</si>
  <si>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</si>
  <si>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</si>
  <si>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</si>
  <si>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</si>
  <si>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</si>
  <si>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</si>
  <si>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</si>
  <si>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</si>
  <si>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</si>
  <si>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</si>
  <si>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</si>
  <si>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</si>
  <si>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</si>
  <si>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</si>
  <si>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</si>
  <si>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</si>
  <si>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</si>
  <si>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</si>
  <si>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</si>
  <si>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</si>
  <si>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</si>
  <si>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</si>
  <si>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</si>
  <si>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</si>
  <si>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</si>
  <si>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</si>
  <si>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</si>
  <si>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</si>
  <si>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</si>
  <si>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</si>
  <si>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</si>
  <si>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</si>
  <si>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</si>
  <si>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</si>
  <si>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</si>
  <si>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</si>
  <si>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</si>
  <si>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</si>
  <si>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</si>
  <si>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</si>
  <si>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</si>
  <si>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</si>
  <si>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</si>
  <si>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</si>
  <si>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</si>
  <si>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</si>
  <si>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</si>
  <si>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</si>
  <si>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</si>
  <si>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</si>
  <si>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</si>
  <si>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</si>
  <si>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</si>
  <si>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</si>
  <si>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</si>
  <si>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</si>
  <si>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</si>
  <si>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</si>
  <si>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>ЗВІТ</t>
  </si>
  <si>
    <t xml:space="preserve">ПРО ВИКОНАННЯ ФІНАНСОВОГО ПЛАНУ ПІДПРИЄМСТВА 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</si>
  <si>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</si>
  <si>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</si>
  <si>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</si>
  <si>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</si>
  <si>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</si>
  <si>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</si>
  <si>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</si>
  <si>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</si>
  <si>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</si>
  <si>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</si>
  <si>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</si>
  <si>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</si>
  <si>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</si>
  <si>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</si>
  <si>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</si>
  <si>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</si>
  <si>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</si>
  <si>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</si>
  <si>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</si>
  <si>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</si>
  <si>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</si>
  <si>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</si>
  <si>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</si>
  <si>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</si>
  <si>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</si>
  <si>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</si>
  <si>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</si>
  <si>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</si>
  <si>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</si>
  <si>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</si>
  <si>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</si>
  <si>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</si>
  <si>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</si>
  <si>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</si>
  <si>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</si>
  <si>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</si>
  <si>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</si>
  <si>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</si>
  <si>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</si>
  <si>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</si>
  <si>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</si>
  <si>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</si>
  <si>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</si>
  <si>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</si>
  <si>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</si>
  <si>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</si>
  <si>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</si>
  <si>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</si>
  <si>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</si>
  <si>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</si>
  <si>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</si>
  <si>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</si>
  <si>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</si>
  <si>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</si>
  <si>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</si>
  <si>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</si>
  <si>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</si>
  <si>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</si>
  <si>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</si>
  <si>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</si>
  <si>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>Плановий рік, усього</t>
  </si>
  <si>
    <t>План звітного періоду</t>
  </si>
  <si>
    <t>Факт звітного періоду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</si>
  <si>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</si>
  <si>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</si>
  <si>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</si>
  <si>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</si>
  <si>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</si>
  <si>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</si>
  <si>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</si>
  <si>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</si>
  <si>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</si>
  <si>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</si>
  <si>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</si>
  <si>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</si>
  <si>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</si>
  <si>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</si>
  <si>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</si>
  <si>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</si>
  <si>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</si>
  <si>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</si>
  <si>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</si>
  <si>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</si>
  <si>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</si>
  <si>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</si>
  <si>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</si>
  <si>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</si>
  <si>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</si>
  <si>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</si>
  <si>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</si>
  <si>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</si>
  <si>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</si>
  <si>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</si>
  <si>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</si>
  <si>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t>_____________________________</t>
  </si>
  <si>
    <t>План з початку року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</si>
  <si>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</si>
  <si>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</si>
  <si>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</si>
  <si>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</si>
  <si>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</si>
  <si>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</si>
  <si>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</si>
  <si>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</si>
  <si>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</si>
  <si>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</si>
  <si>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</si>
  <si>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</si>
  <si>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</si>
  <si>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</si>
  <si>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</si>
  <si>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</si>
  <si>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</si>
  <si>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</si>
  <si>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</si>
  <si>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</si>
  <si>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</si>
  <si>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</si>
  <si>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</si>
  <si>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</si>
  <si>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</si>
  <si>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</si>
  <si>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</si>
  <si>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</si>
  <si>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</si>
  <si>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</si>
  <si>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</si>
  <si>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</si>
  <si>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</si>
  <si>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</si>
  <si>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Примітка: Фактичні дані заповнюються за 5 років, що передують плановому.</t>
  </si>
  <si>
    <t xml:space="preserve">                  (назва підприємства)</t>
  </si>
  <si>
    <t>Назва майна</t>
  </si>
  <si>
    <t>Місце знаходження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</si>
  <si>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</si>
  <si>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</si>
  <si>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</si>
  <si>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адміністративні приміщення</t>
  </si>
  <si>
    <t>виробничі приміщення</t>
  </si>
  <si>
    <t>Будівлі, споруди, окремі приміщення, які передано в оренду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</si>
  <si>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</si>
  <si>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</si>
  <si>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</si>
  <si>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</si>
  <si>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</si>
  <si>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</si>
  <si>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</si>
  <si>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</si>
  <si>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</si>
  <si>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</si>
  <si>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</si>
  <si>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</si>
  <si>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</si>
  <si>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</si>
  <si>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</si>
  <si>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</si>
  <si>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 xml:space="preserve"> Додаток 4 до пояснювальної записки до фінансового звіту</t>
  </si>
  <si>
    <t>Послуги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</si>
  <si>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</si>
  <si>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</si>
  <si>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</si>
  <si>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</si>
  <si>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</si>
  <si>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</si>
  <si>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</si>
  <si>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</si>
  <si>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</si>
  <si>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</si>
  <si>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</si>
  <si>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</si>
  <si>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</si>
  <si>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</si>
  <si>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</si>
  <si>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</si>
  <si>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</si>
  <si>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</si>
  <si>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</si>
  <si>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</si>
  <si>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</si>
  <si>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</si>
  <si>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</si>
  <si>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</si>
  <si>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</si>
  <si>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</si>
  <si>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</si>
  <si>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</si>
  <si>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</si>
  <si>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</si>
  <si>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</si>
  <si>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</si>
  <si>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</si>
  <si>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</si>
  <si>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</si>
  <si>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</si>
  <si>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</si>
  <si>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</si>
  <si>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</si>
  <si>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</si>
  <si>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</si>
  <si>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</si>
  <si>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</si>
  <si>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</si>
  <si>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</si>
  <si>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</si>
  <si>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</si>
  <si>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</si>
  <si>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</si>
  <si>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</si>
  <si>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</si>
  <si>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</si>
  <si>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</si>
  <si>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</si>
  <si>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</si>
  <si>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</si>
  <si>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</si>
  <si>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</si>
  <si>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</si>
  <si>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</si>
  <si>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</si>
  <si>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</si>
  <si>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</si>
  <si>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</si>
  <si>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</si>
  <si>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</si>
  <si>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</si>
  <si>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</si>
  <si>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</si>
  <si>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</si>
  <si>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</si>
  <si>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</si>
  <si>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</si>
  <si>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</si>
  <si>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</si>
  <si>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</si>
  <si>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</si>
  <si>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</si>
  <si>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</si>
  <si>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</si>
  <si>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</si>
  <si>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</si>
  <si>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</si>
  <si>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</si>
  <si>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</si>
  <si>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</si>
  <si>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</si>
  <si>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</si>
  <si>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</si>
  <si>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</si>
  <si>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</si>
  <si>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</si>
  <si>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</si>
  <si>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</si>
  <si>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</si>
  <si>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</si>
  <si>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</si>
  <si>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</si>
  <si>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</si>
  <si>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</si>
  <si>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</si>
  <si>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</si>
  <si>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</si>
  <si>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</si>
  <si>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</si>
  <si>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</si>
  <si>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</si>
  <si>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</si>
  <si>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</si>
  <si>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</si>
  <si>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</si>
  <si>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</si>
  <si>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</si>
  <si>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</si>
  <si>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</si>
  <si>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</si>
  <si>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</si>
  <si>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</si>
  <si>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</si>
  <si>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</si>
  <si>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</si>
  <si>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</si>
  <si>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</si>
  <si>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</si>
  <si>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</si>
  <si>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</si>
  <si>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</si>
  <si>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</si>
  <si>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</si>
  <si>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</si>
  <si>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</si>
  <si>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</si>
  <si>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</si>
  <si>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</si>
  <si>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</si>
  <si>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</si>
  <si>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</si>
  <si>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</si>
  <si>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</si>
  <si>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</si>
  <si>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</si>
  <si>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</si>
  <si>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</si>
  <si>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</si>
  <si>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</si>
  <si>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</si>
  <si>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минулий рік</t>
  </si>
  <si>
    <t>поточний рік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</si>
  <si>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</si>
  <si>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</si>
  <si>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</si>
  <si>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</si>
  <si>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</si>
  <si>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</si>
  <si>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</si>
  <si>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</si>
  <si>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-</t>
  </si>
  <si>
    <t>Надання послуг з утримання будинківі споруд та прибудинкових територій</t>
  </si>
  <si>
    <t>стягнення боргу</t>
  </si>
  <si>
    <t>1.</t>
  </si>
  <si>
    <t>Ю.М.Балас</t>
  </si>
  <si>
    <t>Інформація про претензійно-позовну роботу комунального підприємства КП БМР ЖЕК № 7</t>
  </si>
  <si>
    <t>Керівник Балас Ю.М.</t>
  </si>
  <si>
    <t>Виконавець Кошова Г.В</t>
  </si>
  <si>
    <t>КП БМР ЖЕК № 7</t>
  </si>
  <si>
    <t>(   )</t>
  </si>
  <si>
    <t>кількість продукції/             наданих послуг, одиниця виміру    м2</t>
  </si>
  <si>
    <t>ціна одиниці     (вартість  продукції/     наданих послуг), грин/м2</t>
  </si>
  <si>
    <t>Часткове утримання територій міста</t>
  </si>
  <si>
    <t>Фактична собівартість (з ПДВ) грн/м2</t>
  </si>
  <si>
    <t>Комунальні послуги (газ, вода , електроєнергія) гурт.</t>
  </si>
  <si>
    <t>Надання послуг з утримання будинків і споруд та прибудинкових теріторій</t>
  </si>
  <si>
    <t>придбання основних засобів</t>
  </si>
  <si>
    <t>Квартплата</t>
  </si>
  <si>
    <t xml:space="preserve">Експл  витрати нежитл  прим </t>
  </si>
  <si>
    <t>субсідія</t>
  </si>
  <si>
    <t>пільги</t>
  </si>
  <si>
    <t>інши</t>
  </si>
  <si>
    <r>
      <t>Інші операційні доходи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  <r>
      <rPr>
        <sz val="11"/>
        <rFont val="Times New Roman"/>
        <family val="1"/>
        <charset val="204"/>
      </rPr>
      <t xml:space="preserve">, </t>
    </r>
  </si>
  <si>
    <t>Собівартість реалізованої продукції / товарів, робіт, послуг /</t>
  </si>
  <si>
    <t>Вивезення сміття</t>
  </si>
  <si>
    <t>Профдезінфекція</t>
  </si>
  <si>
    <t>Поточний ремонт підрядним способом</t>
  </si>
  <si>
    <t xml:space="preserve">Вода </t>
  </si>
  <si>
    <t>спецодяг. Інструм</t>
  </si>
  <si>
    <t xml:space="preserve"> електроенергія</t>
  </si>
  <si>
    <t>резерв відпусток</t>
  </si>
  <si>
    <t>відрахуванняя профкому</t>
  </si>
  <si>
    <t xml:space="preserve">Адміністративні витрати  </t>
  </si>
  <si>
    <t>електроенергія</t>
  </si>
  <si>
    <t>вода</t>
  </si>
  <si>
    <t>опалення</t>
  </si>
  <si>
    <t>Матеріальні витрати канцтовари</t>
  </si>
  <si>
    <t>Послуги банку</t>
  </si>
  <si>
    <t>Податкиза за землю</t>
  </si>
  <si>
    <t>обслуговування  компютерної техники</t>
  </si>
  <si>
    <t xml:space="preserve">Інші операційні витрати </t>
  </si>
  <si>
    <t>Матеріальна допомога</t>
  </si>
  <si>
    <t>Головний бухгалтер                                                Л.С.Фіялко</t>
  </si>
  <si>
    <t>Поворотна фінансова допомога</t>
  </si>
  <si>
    <t>земельний податок</t>
  </si>
  <si>
    <t xml:space="preserve">Єдиний внесок на загальнообов'язкове державне соціальне страхування, військовий збір                            </t>
  </si>
  <si>
    <t>інши (пов  судові витрати , % банку)</t>
  </si>
  <si>
    <t>безповоротна фінансова допомога</t>
  </si>
  <si>
    <t>ПДВ</t>
  </si>
  <si>
    <t>ПДФО</t>
  </si>
  <si>
    <t>Головний економіст                                               Г.В.Кошова</t>
  </si>
  <si>
    <t>Леваневського,34</t>
  </si>
  <si>
    <t>насоссна станція</t>
  </si>
  <si>
    <t>Площа м2</t>
  </si>
  <si>
    <t>службове житло</t>
  </si>
  <si>
    <r>
      <t xml:space="preserve">Чистий дохід від реалізації продукції (товарів, робіт, послуг) </t>
    </r>
    <r>
      <rPr>
        <i/>
        <sz val="10"/>
        <rFont val="Times New Roman"/>
        <family val="1"/>
        <charset val="204"/>
      </rPr>
      <t>(розшифрувати)</t>
    </r>
  </si>
  <si>
    <t>Платежи до бюджету (розшифрувати)</t>
  </si>
  <si>
    <r>
      <t xml:space="preserve">Придбання (виготовлення) основних засобів </t>
    </r>
    <r>
      <rPr>
        <b/>
        <i/>
        <sz val="11"/>
        <rFont val="Times New Roman"/>
        <family val="1"/>
        <charset val="204"/>
      </rPr>
      <t>(розшифрувати)</t>
    </r>
  </si>
  <si>
    <r>
      <t xml:space="preserve">Місцеві податки та збори </t>
    </r>
    <r>
      <rPr>
        <b/>
        <i/>
        <sz val="11"/>
        <rFont val="Times New Roman"/>
        <family val="1"/>
        <charset val="204"/>
      </rPr>
      <t>(розшифрувати)</t>
    </r>
  </si>
  <si>
    <r>
      <t xml:space="preserve">інші операційні витрати </t>
    </r>
    <r>
      <rPr>
        <b/>
        <i/>
        <sz val="11"/>
        <rFont val="Times New Roman"/>
        <family val="1"/>
        <charset val="204"/>
      </rPr>
      <t>(розшифрувати)</t>
    </r>
  </si>
  <si>
    <r>
      <t>інші адміністративні витрати</t>
    </r>
    <r>
      <rPr>
        <b/>
        <i/>
        <sz val="11"/>
        <rFont val="Times New Roman"/>
        <family val="1"/>
        <charset val="204"/>
      </rPr>
      <t xml:space="preserve"> (розшифрувати)</t>
    </r>
  </si>
  <si>
    <r>
      <t xml:space="preserve">Інші витрати </t>
    </r>
    <r>
      <rPr>
        <b/>
        <i/>
        <sz val="11"/>
        <rFont val="Times New Roman"/>
        <family val="1"/>
        <charset val="204"/>
      </rPr>
      <t>(розшифрувати)</t>
    </r>
  </si>
  <si>
    <t>Підприємство  Комунальне підприємство Білоцерківської міської ради житлово-експлуатаційна контора № 7</t>
  </si>
  <si>
    <t>Місцезнаходження  09108,Київська обл., м.Біла Церква, Леваневського, буд. 34</t>
  </si>
  <si>
    <t>Телефон (04563)7-16-56,  7-10-34</t>
  </si>
  <si>
    <t>Прізвище та ініціали керівника  Балас Ю.М.</t>
  </si>
  <si>
    <t xml:space="preserve">                   Коханчук О.М.</t>
  </si>
  <si>
    <t>70.20</t>
  </si>
  <si>
    <t>Головний економіст Кошова Г.В. тел.7-16-56</t>
  </si>
  <si>
    <t>Головний бухгалтер Фіялко Л.С.</t>
  </si>
  <si>
    <t>списання БРР</t>
  </si>
  <si>
    <t>357/1708/19  перша інстанція</t>
  </si>
  <si>
    <t>Берлоус Н. А.</t>
  </si>
  <si>
    <t>357/1733/19  перша інстанція</t>
  </si>
  <si>
    <t>Бігма Л. О.</t>
  </si>
  <si>
    <t>357/1730/19  перша інстанція</t>
  </si>
  <si>
    <t>Ворон Н. І.</t>
  </si>
  <si>
    <t>357/1718/19  перша інстанція</t>
  </si>
  <si>
    <t>Горбань К. С.</t>
  </si>
  <si>
    <t>357/1737/19  перша інстанція</t>
  </si>
  <si>
    <t>Гурін С. І.</t>
  </si>
  <si>
    <t>357/1691/19  перша інстанція</t>
  </si>
  <si>
    <t>Дідик (Ліченко) Д. О.</t>
  </si>
  <si>
    <t>357/1706/19  перша інстанція</t>
  </si>
  <si>
    <t>Драпой А. В.</t>
  </si>
  <si>
    <t>ухвала   відповідно до ч.9 ст.165 ЦПК</t>
  </si>
  <si>
    <t>357/1701/19  перша інстанція</t>
  </si>
  <si>
    <t>Лук’янець В. В.</t>
  </si>
  <si>
    <t>357/1756/19  перша інстанція</t>
  </si>
  <si>
    <t>Прокопенко Є. І.</t>
  </si>
  <si>
    <t>357/1740/19  перша інстанція</t>
  </si>
  <si>
    <t>Романчук Л. А.</t>
  </si>
  <si>
    <t>357/1752/19  перша інстанція</t>
  </si>
  <si>
    <t>Шабельна Н. С.</t>
  </si>
  <si>
    <t>357/1712/19  перша інстанція</t>
  </si>
  <si>
    <t>Щербина Ю. В.</t>
  </si>
  <si>
    <t>357/1814/19  перша інстанція</t>
  </si>
  <si>
    <t>Попова О. А.</t>
  </si>
  <si>
    <t>357/1812/19  перша інстанція</t>
  </si>
  <si>
    <t>Гризлова І. А.</t>
  </si>
  <si>
    <t>357/1809/19  перша інстанція</t>
  </si>
  <si>
    <t>Диченко С. В.</t>
  </si>
  <si>
    <t>357/1808/19  перша інстанція</t>
  </si>
  <si>
    <t>Закрасняний І. В.</t>
  </si>
  <si>
    <t>ухвала   відповідно до ст.170 ЦПК</t>
  </si>
  <si>
    <t>357/1806/19  перша інстанція</t>
  </si>
  <si>
    <t>Цабо І. Ю.</t>
  </si>
  <si>
    <t>357/1805/19  перша інстанція</t>
  </si>
  <si>
    <t>Моїсєєв О. О.</t>
  </si>
  <si>
    <t>Борг сплачено</t>
  </si>
  <si>
    <t>357/3337/19  перша інстанція</t>
  </si>
  <si>
    <t>Афанасьєв О. П.</t>
  </si>
  <si>
    <t>357/3376/19  перша інстанція</t>
  </si>
  <si>
    <t>Вдовика В. М.</t>
  </si>
  <si>
    <t>357/3325/19  перша інстанція</t>
  </si>
  <si>
    <t>Дехтяр Ю. Л.</t>
  </si>
  <si>
    <t>357/3366/19  перша інстанція</t>
  </si>
  <si>
    <t>Згинник С. А.</t>
  </si>
  <si>
    <t>357/3331/19  перша інстанція</t>
  </si>
  <si>
    <t>Кривошея Н. В.</t>
  </si>
  <si>
    <t>357/3333/19  перша інстанція</t>
  </si>
  <si>
    <t>Мураховська Т. В.</t>
  </si>
  <si>
    <t>357/3318/19  перша інстанція</t>
  </si>
  <si>
    <t>Перебийніс В. П.</t>
  </si>
  <si>
    <t>357/3382/19  перша інстанція</t>
  </si>
  <si>
    <t>Пільганчук Л. І.</t>
  </si>
  <si>
    <t>357/3368/19  перша інстанція</t>
  </si>
  <si>
    <t>Плаксивий С. В.</t>
  </si>
  <si>
    <t>357/3353/19  перша інстанція</t>
  </si>
  <si>
    <t>Шелест Н. М.</t>
  </si>
  <si>
    <t>357/3468/19  перша інстанція</t>
  </si>
  <si>
    <t>Верзун В. О.</t>
  </si>
  <si>
    <t>357/3479/19  перша інстанція</t>
  </si>
  <si>
    <t>Аввакумов С. А.</t>
  </si>
  <si>
    <t>357/3478/19  перша інстанція</t>
  </si>
  <si>
    <t>Кобилінський М. В.</t>
  </si>
  <si>
    <t>357/3477/19  перша інстанція</t>
  </si>
  <si>
    <t>Петрова О. М.</t>
  </si>
  <si>
    <t>357/3472/19  перша інстанція</t>
  </si>
  <si>
    <t>Овсієнко Т. І.</t>
  </si>
  <si>
    <t>357/3470/19  перша інстанція</t>
  </si>
  <si>
    <t>Півчук Т. М.</t>
  </si>
  <si>
    <t>Виконавець Фіялко Л.С.</t>
  </si>
  <si>
    <t>щитка гидравлічна з бункером</t>
  </si>
  <si>
    <t>вирішити питання про списання багатоквартирного будинку № 84 по вулиці Некрасова з балансу комунального підприємства Білоцерківської міської ради житлово – експлуатаційної контори № 7.</t>
  </si>
  <si>
    <t>Сівченко В. М</t>
  </si>
  <si>
    <t>ухвала   відповідно до п.5.ч.1 ст.165 ЦПК</t>
  </si>
  <si>
    <t>357/5398/19 перша інстанція</t>
  </si>
  <si>
    <t>Сулима Г. О.</t>
  </si>
  <si>
    <t>357/5396/19 перша інстанція</t>
  </si>
  <si>
    <t>Іщенко В. В.</t>
  </si>
  <si>
    <t>357/5400/19 перша інстанція</t>
  </si>
  <si>
    <t>Голомба І. Ф.</t>
  </si>
  <si>
    <t>357/5394/19 перша інстанція</t>
  </si>
  <si>
    <t>Чернега П. Л.</t>
  </si>
  <si>
    <t>357/5387/19 перша інстанція</t>
  </si>
  <si>
    <t>Ковчур Т. Г.</t>
  </si>
  <si>
    <t>357/5384/19 перша інстанція</t>
  </si>
  <si>
    <t>Хоменко К. М.</t>
  </si>
  <si>
    <t>борг слачено</t>
  </si>
  <si>
    <t>357/5383/19 перша інстанція</t>
  </si>
  <si>
    <t>Миколайчук Т. І.</t>
  </si>
  <si>
    <t>357/5381/19 перша інстанція</t>
  </si>
  <si>
    <t>Сизоненко І. О.</t>
  </si>
  <si>
    <t>357/5726/19 перша інстанція</t>
  </si>
  <si>
    <t>Мялківська Н. П.</t>
  </si>
  <si>
    <t>357/5728/19 перша інстанція</t>
  </si>
  <si>
    <t>Сущенко В В.</t>
  </si>
  <si>
    <t>357/5735/19 перша інстанція</t>
  </si>
  <si>
    <t>Руденко Ю. І.</t>
  </si>
  <si>
    <t>357/5742/19 перша інстанція</t>
  </si>
  <si>
    <t>Пишний Л. Д.</t>
  </si>
  <si>
    <t>357/5749/19 перша інстанція</t>
  </si>
  <si>
    <t>Самченко В. О.</t>
  </si>
  <si>
    <t>357/5699/19 перша інстанція</t>
  </si>
  <si>
    <t>Сидорюк М. О.</t>
  </si>
  <si>
    <t>357/5702/19 перша інстанція</t>
  </si>
  <si>
    <t>Вільневецька Н. В.</t>
  </si>
  <si>
    <t>ухвала   відповідно до ч.1 ст.168 ЦПК</t>
  </si>
  <si>
    <t>357/5704/19 перша інстанція</t>
  </si>
  <si>
    <t>Галкіна С. О.</t>
  </si>
  <si>
    <t>357/5706/19 перша інстанція</t>
  </si>
  <si>
    <t>Казакова О. В.</t>
  </si>
  <si>
    <t>3575709/19  перша інстанція</t>
  </si>
  <si>
    <t>Луцька Т. Г.</t>
  </si>
  <si>
    <t>357/5722/19 перша інстанція</t>
  </si>
  <si>
    <t>Філімонова Л.Л.</t>
  </si>
  <si>
    <t>357/5723/19 перша інстанція</t>
  </si>
  <si>
    <t>Годун О. І.</t>
  </si>
  <si>
    <t>357/5725/19 перша інстанція</t>
  </si>
  <si>
    <t>Чернобров О. О.</t>
  </si>
  <si>
    <t>357/6325/19 перша інстанція</t>
  </si>
  <si>
    <t>Горобець Л. М.</t>
  </si>
  <si>
    <t>357/6329/19 перша інстанція</t>
  </si>
  <si>
    <t>Лахман Д. У.</t>
  </si>
  <si>
    <t>357/6369/19 перша інстанція</t>
  </si>
  <si>
    <t>Астахов А. О.</t>
  </si>
  <si>
    <t>357/6349/19 перша інстанція</t>
  </si>
  <si>
    <t>Мельниченко Н. М.</t>
  </si>
  <si>
    <t>357/6346/19 перша інстанція</t>
  </si>
  <si>
    <t>Гопаца Л. А.</t>
  </si>
  <si>
    <t>20776/19-вх перша інстанція</t>
  </si>
  <si>
    <t>Волік Г. П.</t>
  </si>
  <si>
    <t>357/6414/19 перша інстанція</t>
  </si>
  <si>
    <t>Зуб Ю. О.</t>
  </si>
  <si>
    <t>357/7394/19 перша інстанція</t>
  </si>
  <si>
    <t>Гушленко І. О.</t>
  </si>
  <si>
    <t>357/7396/19 перша інстанція</t>
  </si>
  <si>
    <t>Собінова Н. Г.</t>
  </si>
  <si>
    <t>357/7410/19 перша інстанція</t>
  </si>
  <si>
    <t>Хороша В. В.</t>
  </si>
  <si>
    <t>357/7405/19 перша інстанція</t>
  </si>
  <si>
    <t>Шабельна Ю. П.</t>
  </si>
  <si>
    <t>357/7403/19 перша інстанція</t>
  </si>
  <si>
    <t>Щепанська Ю. В.</t>
  </si>
  <si>
    <t>357/7401/19 перша істанція</t>
  </si>
  <si>
    <t>Михєєва К.А.</t>
  </si>
  <si>
    <t>Леваневського,77</t>
  </si>
  <si>
    <t>Героїв Крут,45</t>
  </si>
  <si>
    <t>по КП БМР ЖЕК № 7</t>
  </si>
  <si>
    <t xml:space="preserve"> Військовий збір      </t>
  </si>
  <si>
    <r>
      <t>інші платежі</t>
    </r>
    <r>
      <rPr>
        <i/>
        <sz val="12"/>
        <rFont val="Times New Roman"/>
        <family val="1"/>
        <charset val="204"/>
      </rPr>
      <t xml:space="preserve"> (розшифрувати) </t>
    </r>
    <r>
      <rPr>
        <i/>
        <sz val="12"/>
        <color rgb="FFFF0000"/>
        <rFont val="Times New Roman"/>
        <family val="1"/>
        <charset val="204"/>
      </rPr>
      <t>військовий збір</t>
    </r>
  </si>
  <si>
    <t>Керівник Начальник КП БМР ЖЕК № 7</t>
  </si>
  <si>
    <t xml:space="preserve"> (ініціали, прізвище)    </t>
  </si>
  <si>
    <r>
      <t xml:space="preserve">Керівник </t>
    </r>
    <r>
      <rPr>
        <sz val="14"/>
        <rFont val="Times New Roman"/>
        <family val="1"/>
        <charset val="204"/>
      </rPr>
      <t>Начальник КП БМР ЖЕК № 7</t>
    </r>
  </si>
  <si>
    <r>
      <t xml:space="preserve">Керівник </t>
    </r>
    <r>
      <rPr>
        <sz val="12"/>
        <rFont val="Times New Roman"/>
        <family val="1"/>
        <charset val="204"/>
      </rPr>
      <t>Начальник КП БМР ЖЕК № 7</t>
    </r>
  </si>
  <si>
    <t>Керівник Начальник КП БМР ЖЕК № 7                                                               Балас Ю.М.</t>
  </si>
  <si>
    <t xml:space="preserve">ініціали, прізвище)    </t>
  </si>
  <si>
    <t>Технічне обслуговування ліфтів</t>
  </si>
  <si>
    <t>моденізація автотранспорту</t>
  </si>
  <si>
    <t>357/8990/19 перша істанція</t>
  </si>
  <si>
    <t>Грицюк Г. В.</t>
  </si>
  <si>
    <t>№: 357/8987/19 перша істанція</t>
  </si>
  <si>
    <t>Буров С. О.</t>
  </si>
  <si>
    <t>№: 357/8984/19 перша істанція</t>
  </si>
  <si>
    <t>Мельник Г. І.</t>
  </si>
  <si>
    <t>№: 357/8983/19 перша істанція</t>
  </si>
  <si>
    <t>Підопригора Я. В.</t>
  </si>
  <si>
    <t>357/9043/19 перша істанція</t>
  </si>
  <si>
    <t>Пітушенко Л. С.</t>
  </si>
  <si>
    <t>357/9042/19 перша істанція</t>
  </si>
  <si>
    <t>Стратійчук М. Г.</t>
  </si>
  <si>
    <t>357/9041/19 перша істанція</t>
  </si>
  <si>
    <t>Ходаченко В. О.</t>
  </si>
  <si>
    <t>357/9040/19 перша істанція</t>
  </si>
  <si>
    <t>Терещенко В. Г.</t>
  </si>
  <si>
    <t>357/9039/19 перша істанція</t>
  </si>
  <si>
    <t>Черних Л. О.</t>
  </si>
  <si>
    <t> 357/9037/19 перша істанція</t>
  </si>
  <si>
    <t>Панасюк С. І.</t>
  </si>
  <si>
    <t>357/9034/19  перша істанція</t>
  </si>
  <si>
    <t>Марченко Я. В.</t>
  </si>
  <si>
    <t>357/9033/19 перша істанція</t>
  </si>
  <si>
    <t>Білая В. В.</t>
  </si>
  <si>
    <t>357/8992/19 перша істанція</t>
  </si>
  <si>
    <t>Рубченко О. В.</t>
  </si>
  <si>
    <t>357/9054/19 перша істанція</t>
  </si>
  <si>
    <t>Ланцева В. В.</t>
  </si>
  <si>
    <t>357/9053/19 перша істанція</t>
  </si>
  <si>
    <t>Бабурін С.В.</t>
  </si>
  <si>
    <t>357/9052/19 перша істанція</t>
  </si>
  <si>
    <t>Гапоненко В. М.</t>
  </si>
  <si>
    <t>357/9057/19 перша істанція</t>
  </si>
  <si>
    <t>Миколаєнко О. І.</t>
  </si>
  <si>
    <t>357/9055/19 перша істанція</t>
  </si>
  <si>
    <t>Кузьмін В. О.</t>
  </si>
  <si>
    <t>357/9050/19 перша істанція</t>
  </si>
  <si>
    <t>Григоренко Л. М.</t>
  </si>
  <si>
    <t>357/9049/19 перша істанція</t>
  </si>
  <si>
    <t>Горбань Н.М.</t>
  </si>
  <si>
    <t>357/9048/19 перша істанція</t>
  </si>
  <si>
    <t xml:space="preserve">Нартової М. В. </t>
  </si>
  <si>
    <t>357/9045/19 перша істанція</t>
  </si>
  <si>
    <t>Литвин О. І.</t>
  </si>
  <si>
    <t>357/9044/19 перша істанція</t>
  </si>
  <si>
    <t>Яковлєва І. Г.</t>
  </si>
  <si>
    <t>357/9672/19 перша істанція</t>
  </si>
  <si>
    <t>Бурлака А. М.</t>
  </si>
  <si>
    <t>3657/9732/19 перша істанція</t>
  </si>
  <si>
    <t>Вукович О. Б.</t>
  </si>
  <si>
    <t>357/9670/19 перша істанція</t>
  </si>
  <si>
    <t>Хижинська Л. В.</t>
  </si>
  <si>
    <t>357/9736/19 перша істанція</t>
  </si>
  <si>
    <t>Котова В. І.</t>
  </si>
  <si>
    <t>357/9741/19 перша істанція</t>
  </si>
  <si>
    <t>Опанасенко Л. В.</t>
  </si>
  <si>
    <t>357/9676/19 перша істанція</t>
  </si>
  <si>
    <t>Фащаніна К. І.</t>
  </si>
  <si>
    <t>357/9774/19 перша істанція</t>
  </si>
  <si>
    <t>Бутенко В. Г.</t>
  </si>
  <si>
    <t>357/9800/19 перша істанція</t>
  </si>
  <si>
    <t>Бевза Т. І.</t>
  </si>
  <si>
    <t>357/9735/19 перша істанція</t>
  </si>
  <si>
    <t>Штельман А. Г.</t>
  </si>
  <si>
    <t>357/9711/19 перша істанція</t>
  </si>
  <si>
    <t>Жеребнюк Т. М.</t>
  </si>
  <si>
    <t>357/9722/19 перша істанція</t>
  </si>
  <si>
    <t>Диптан Т. І.</t>
  </si>
  <si>
    <t>357/9725/19 перша істанція</t>
  </si>
  <si>
    <t>Ікленко О. С.</t>
  </si>
  <si>
    <t>357/10484/19 перша істанція</t>
  </si>
  <si>
    <t>Кузьміна Н. Ф.</t>
  </si>
  <si>
    <t>357/10483/19 перша істанція</t>
  </si>
  <si>
    <t>Кузик О. Л.</t>
  </si>
  <si>
    <t>357/10480/19 перша істанція</t>
  </si>
  <si>
    <t>Січкарук О. І.</t>
  </si>
  <si>
    <t>357/10514/19 перша істанція</t>
  </si>
  <si>
    <t>Бобровник О. Ф.</t>
  </si>
  <si>
    <t>357/10512/19 перша істанція</t>
  </si>
  <si>
    <t>Севериненко О. А.</t>
  </si>
  <si>
    <t>357/10510/19 перша істанція</t>
  </si>
  <si>
    <t>Ткаченко Т. І.</t>
  </si>
  <si>
    <t>357/10507/19 перша істанція</t>
  </si>
  <si>
    <t>Донченко Г. О.</t>
  </si>
  <si>
    <t>357/10559/19 перша істанція</t>
  </si>
  <si>
    <t>Проценко Н. В.</t>
  </si>
  <si>
    <t>357/10555/19 перша істанція</t>
  </si>
  <si>
    <t>Горобінська Л. О.</t>
  </si>
  <si>
    <t>357/10548/19 перша істанція</t>
  </si>
  <si>
    <t>Костецька О. А.</t>
  </si>
  <si>
    <t>357/10546/19 перша істанція</t>
  </si>
  <si>
    <t>Дишлюк О. Ю.</t>
  </si>
  <si>
    <t>357/10525/19 перша істанція</t>
  </si>
  <si>
    <t>Щасливець М. Г.</t>
  </si>
  <si>
    <t>357/10427/19 перша істанція</t>
  </si>
  <si>
    <t>Потеряйко Є. В.</t>
  </si>
  <si>
    <t>357/10425/19 перша істанція</t>
  </si>
  <si>
    <t>Савельєв О. В.</t>
  </si>
  <si>
    <t>357/10452/19 перша істанція</t>
  </si>
  <si>
    <t>Кочергін Я. В.</t>
  </si>
  <si>
    <t>357/10430/19 перша істанція</t>
  </si>
  <si>
    <t>Батрак Р. В.</t>
  </si>
  <si>
    <t>357/10478/19 перша істанція</t>
  </si>
  <si>
    <t>Руденко М. П.</t>
  </si>
  <si>
    <t>357/10473/19 перша істанція</t>
  </si>
  <si>
    <t>Ковальчук І. М.</t>
  </si>
  <si>
    <t>357/10470/19 перша істанція</t>
  </si>
  <si>
    <t>Обухов В. Є.</t>
  </si>
  <si>
    <t>357/10457/19 перша істанція</t>
  </si>
  <si>
    <t>Дєєва Т. Є.</t>
  </si>
  <si>
    <t>357/10454/19 перша істанція</t>
  </si>
  <si>
    <t>Михалюк В. К.</t>
  </si>
  <si>
    <t>357/10520/19 перша істанція</t>
  </si>
  <si>
    <t>Ковшевацький С. М.</t>
  </si>
  <si>
    <t>357/10474/19 перша істанція</t>
  </si>
  <si>
    <t>Шевченко В. М.</t>
  </si>
  <si>
    <t>357/10460/19 перша істанція</t>
  </si>
  <si>
    <t>Баша Л. М.</t>
  </si>
  <si>
    <t>357/10455/19 перша істанція</t>
  </si>
  <si>
    <t>Гутовська Л. І.</t>
  </si>
  <si>
    <t>357/10453/19 перша істанція</t>
  </si>
  <si>
    <t>Кравець Я. О.</t>
  </si>
  <si>
    <t>357/10495/19 перша істанція</t>
  </si>
  <si>
    <t>Лунченко Г. П.</t>
  </si>
  <si>
    <t>357/10490/19 перша істанція</t>
  </si>
  <si>
    <t>Андрєєва М. Г.</t>
  </si>
  <si>
    <t>357/10956/19 перша істанція</t>
  </si>
  <si>
    <t>Шепель Д. М.</t>
  </si>
  <si>
    <t>357/10947/19 перша істанція</t>
  </si>
  <si>
    <t>Дятел І. Г.</t>
  </si>
  <si>
    <t>357/10950/19 перша істанція</t>
  </si>
  <si>
    <t>Рябець  В. Г.</t>
  </si>
  <si>
    <t>357/10953/19 перша істанція</t>
  </si>
  <si>
    <t>Йосипенко В. В.</t>
  </si>
  <si>
    <t>357/10961/19 перша істанція</t>
  </si>
  <si>
    <t>Демяненко Л. О.</t>
  </si>
  <si>
    <t>357/10966/19 перша істанція</t>
  </si>
  <si>
    <t>Ускова В. Д.</t>
  </si>
  <si>
    <t>357/10968/19 перша істанція</t>
  </si>
  <si>
    <t>Шелудченко І. І.</t>
  </si>
  <si>
    <t>357/10939/19 перша істанція</t>
  </si>
  <si>
    <t>Олійник Л. В.</t>
  </si>
  <si>
    <t>357/10959/19 перша істанція</t>
  </si>
  <si>
    <t>Іванова  І. А.</t>
  </si>
  <si>
    <t>357/10943/19 перша істанція</t>
  </si>
  <si>
    <t xml:space="preserve">Якубівський В. І.                </t>
  </si>
  <si>
    <t>Виконавець:юрист</t>
  </si>
  <si>
    <t xml:space="preserve"> Ю.В. Недужко</t>
  </si>
  <si>
    <t xml:space="preserve">    Ю.М.Балас</t>
  </si>
  <si>
    <t>Фактично за відповідний період  минулого року 9м-ців</t>
  </si>
  <si>
    <t>Фактично за звітний період з наростаючим підсумком 9м-ців</t>
  </si>
  <si>
    <t xml:space="preserve">Плановий 2019 рік </t>
  </si>
  <si>
    <t>до фінансового звіту за 4 квартал 2019р.</t>
  </si>
  <si>
    <t xml:space="preserve">Інформація щодо діяльності підприємства упродовж 2014-2019років </t>
  </si>
  <si>
    <t>Балансова вартість
(тис.грн.) 
на31.12.2019р.</t>
  </si>
  <si>
    <t>Розшифровка до звіту виконання фінансового плану за 4 квартал 2019р.</t>
  </si>
  <si>
    <t>автотранспортні послуги</t>
  </si>
  <si>
    <t>поштові витрати</t>
  </si>
  <si>
    <t>інши витрати</t>
  </si>
  <si>
    <t>Списання ДКИ,% банків</t>
  </si>
  <si>
    <t>за   4 квартал 2019р.</t>
  </si>
  <si>
    <t>Єдиний внесок на загальнообов'язкове державне соціальне страхування</t>
  </si>
  <si>
    <t>податок на прибуток,дивиденди</t>
  </si>
  <si>
    <t>моденізація системного блоку</t>
  </si>
  <si>
    <t>Середньооблікова кількість штатних працівників -237 чол.</t>
  </si>
  <si>
    <t>Ришення виконавчого комитету  БМР                        від 11.12.2018р. №746</t>
  </si>
  <si>
    <t xml:space="preserve">Сума кредиторської заборгованості 973 тис. грн </t>
  </si>
  <si>
    <t xml:space="preserve">Сума дебіторської заборгованості 5759 тис. грн </t>
  </si>
  <si>
    <t>357/5380/19          перша інстанція</t>
  </si>
  <si>
    <t>Доленко Є. В.</t>
  </si>
  <si>
    <t>357/12302/19 перша істанція</t>
  </si>
  <si>
    <t>Вавринчук Л. В.</t>
  </si>
  <si>
    <t>357/12297/19 перша істанція</t>
  </si>
  <si>
    <t>Рабенко Л. В.</t>
  </si>
  <si>
    <t>357/12292/19 перша істанція</t>
  </si>
  <si>
    <t>Семида М. М.</t>
  </si>
  <si>
    <t>357/12290/19 перша істанція</t>
  </si>
  <si>
    <t>Кисленко В. В.</t>
  </si>
  <si>
    <t>357/12289/19 перша істанція</t>
  </si>
  <si>
    <t>Хоменко Т. М.</t>
  </si>
  <si>
    <t>357/12288/19 перша істанція</t>
  </si>
  <si>
    <t>Агапченко В. Ю.</t>
  </si>
  <si>
    <t>357/12286/19 перша істанція</t>
  </si>
  <si>
    <t>Тіткова Н. Є.</t>
  </si>
  <si>
    <t>357/12283/19 перша істанція</t>
  </si>
  <si>
    <t>Воропаєва О. О.</t>
  </si>
  <si>
    <t>357/12275/19 перша істанція</t>
  </si>
  <si>
    <t>Свидан В. П.</t>
  </si>
  <si>
    <t>357/12269/19 перша істанція</t>
  </si>
  <si>
    <t>Войцехівський  С. Д.</t>
  </si>
  <si>
    <t>357/12268/19 перша істанція</t>
  </si>
  <si>
    <t>Соловйова Л. О.</t>
  </si>
  <si>
    <t>357/12264/19 перша істанція</t>
  </si>
  <si>
    <t>Соболь М. І.</t>
  </si>
  <si>
    <t>357/12309/19 перша істанція</t>
  </si>
  <si>
    <t>Кеба В. В.</t>
  </si>
  <si>
    <t>357/12313/19 перша істанція</t>
  </si>
  <si>
    <t>Мітіна Н. О.</t>
  </si>
  <si>
    <t>357/12305/19 перша істанція</t>
  </si>
  <si>
    <t>Татарньов А. В.</t>
  </si>
  <si>
    <t>357/12446/19 перша істанція</t>
  </si>
  <si>
    <t>Кириченко А. Д.</t>
  </si>
  <si>
    <t>357/12457/19 перша істанція</t>
  </si>
  <si>
    <t>Мельниченко С. М.</t>
  </si>
  <si>
    <t>357/124554/19 перша істанція</t>
  </si>
  <si>
    <t>Пахолюк А. В.</t>
  </si>
  <si>
    <t>357/12453/19 перша істанція</t>
  </si>
  <si>
    <t>Гурська І. Л.</t>
  </si>
  <si>
    <t>357/12433/19 перша істанція</t>
  </si>
  <si>
    <t>Нежданова І. А.</t>
  </si>
  <si>
    <t>357/12438/19 перша істанція</t>
  </si>
  <si>
    <t>Легкодух О. В.</t>
  </si>
  <si>
    <t>357/12441/19 перша істанція</t>
  </si>
  <si>
    <t>Черненко (Бєлова) Н. М.</t>
  </si>
  <si>
    <t>357/12443/19 перша істанція</t>
  </si>
  <si>
    <t>Дишлюк Людмила Іванівна</t>
  </si>
  <si>
    <t>№357/12458/19 перша істанція</t>
  </si>
  <si>
    <t>Ткач (Черниш) О. І.</t>
  </si>
  <si>
    <t>357/12431/19 перша істанція</t>
  </si>
  <si>
    <t>Сопкін І. Л.</t>
  </si>
  <si>
    <t>357/12590/19  перша істанція</t>
  </si>
  <si>
    <t>Родіонова Ю. В.</t>
  </si>
  <si>
    <t>№: 357/12602/19 перша істанція</t>
  </si>
  <si>
    <t>Атаманенко Н. П.</t>
  </si>
  <si>
    <t>357/12604/19 перша істанція</t>
  </si>
  <si>
    <r>
      <t>Ліп</t>
    </r>
    <r>
      <rPr>
        <sz val="11"/>
        <color indexed="8"/>
        <rFont val="Calibri"/>
        <family val="2"/>
        <charset val="204"/>
      </rPr>
      <t>'</t>
    </r>
    <r>
      <rPr>
        <sz val="10"/>
        <rFont val="Arial Cyr"/>
        <charset val="204"/>
      </rPr>
      <t>яцький І. М.</t>
    </r>
  </si>
  <si>
    <t>357/12605/19 перша істанція</t>
  </si>
  <si>
    <t>Зварич В. В.</t>
  </si>
  <si>
    <t>357/12607/19 перша істанція</t>
  </si>
  <si>
    <t>Чабак О. І.</t>
  </si>
  <si>
    <t>357/12591/19 перша істанція</t>
  </si>
  <si>
    <t>Блажчик О. Й.</t>
  </si>
  <si>
    <t>357/12595/19 перша істанція</t>
  </si>
  <si>
    <t>Жданов А. В.</t>
  </si>
  <si>
    <t>357/12597/19 перша істанція</t>
  </si>
  <si>
    <t>Магась Т. В.</t>
  </si>
  <si>
    <t>357/12601/19 перша істанція</t>
  </si>
  <si>
    <t>Шишкіна (Толобчук) С. П.</t>
  </si>
  <si>
    <t>357/12596/19 перша істанція</t>
  </si>
  <si>
    <t>Левіна Г. І.</t>
  </si>
  <si>
    <t>357/13366/19 перша істанція</t>
  </si>
  <si>
    <t>Іванова Л.І.</t>
  </si>
  <si>
    <t>357/13364/19 перша істанція</t>
  </si>
  <si>
    <t>Рацюк Р.М.</t>
  </si>
  <si>
    <t>357/13362/19 перша істанція</t>
  </si>
  <si>
    <t>Макєєва Н.В.</t>
  </si>
  <si>
    <t>357/13350/19 перша істанція</t>
  </si>
  <si>
    <t>Уцеха Н.О.</t>
  </si>
  <si>
    <t>357/13359/19 перша істанція</t>
  </si>
  <si>
    <t>Островська Н.В.</t>
  </si>
  <si>
    <t>357/13354/19 перша істанція</t>
  </si>
  <si>
    <t>Янченко Г.П.</t>
  </si>
  <si>
    <t>357/13352/19 перша істанція</t>
  </si>
  <si>
    <t>Данильчак Н.Г.</t>
  </si>
  <si>
    <t>357/13341/19 перша істанція</t>
  </si>
  <si>
    <t>Дзюман С. М.</t>
  </si>
  <si>
    <t>357/13998/19 перша істанція</t>
  </si>
  <si>
    <t>Частова Л. А.</t>
  </si>
  <si>
    <t>35714004/19 перша істанція</t>
  </si>
  <si>
    <t>Омелянчук Е. С.</t>
  </si>
  <si>
    <t>357/13999/19 перша істанція</t>
  </si>
  <si>
    <t>Кустовська С.Ф.</t>
  </si>
  <si>
    <t>357/14007/19 перша істанція</t>
  </si>
  <si>
    <t>Ткаченко С. І.</t>
  </si>
  <si>
    <t>357/14010/19 перша істанція</t>
  </si>
  <si>
    <t>Однорог В. А.</t>
  </si>
  <si>
    <t>357/13945/19 перша істанція</t>
  </si>
  <si>
    <t>Рашідова О. І.</t>
  </si>
  <si>
    <t>357/13966/19 перша істанція</t>
  </si>
  <si>
    <t>Кириленко М. А.</t>
  </si>
  <si>
    <t>357/13961/19 перша істанція</t>
  </si>
  <si>
    <t>Штика С. В.</t>
  </si>
  <si>
    <t>357/13956/19</t>
  </si>
  <si>
    <t>Демиденко С. М.</t>
  </si>
  <si>
    <t>357/13950/19 перша істанція</t>
  </si>
  <si>
    <t>Кашуба К. М.</t>
  </si>
  <si>
    <r>
      <t xml:space="preserve">станом на 01 січня 2020 р.     </t>
    </r>
    <r>
      <rPr>
        <sz val="8"/>
        <rFont val="Arial"/>
        <family val="2"/>
        <charset val="204"/>
      </rPr>
      <t>(складається на останню звітну дату)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</si>
</sst>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6" formatCode="#,##0&quot;р.&quot;;[Red]\-#,##0&quot;р.&quot;"/>
    <numFmt numFmtId="7" formatCode="#,##0.00&quot;р.&quot;;\-#,##0.00&quot;р.&quot;"/>
    <numFmt numFmtId="43" formatCode="_-* #,##0.00_р_._-;\-* #,##0.00_р_._-;_-* &quot;-&quot;??_р_._-;_-@_-"/>
    <numFmt numFmtId="164" formatCode="_-* #,##0.00\ _г_р_н_._-;\-* #,##0.00\ _г_р_н_._-;_-* &quot;-&quot;??\ _г_р_н_._-;_-@_-"/>
    <numFmt numFmtId="165" formatCode="_-* #,##0.00_₴_-;\-* #,##0.00_₴_-;_-* &quot;-&quot;??_₴_-;_-@_-"/>
    <numFmt numFmtId="166" formatCode="0.0"/>
    <numFmt numFmtId="167" formatCode="#,##0.0"/>
    <numFmt numFmtId="168" formatCode="###\ ##0.000"/>
    <numFmt numFmtId="169" formatCode="_(&quot;$&quot;* #,##0.00_);_(&quot;$&quot;* \(#,##0.00\);_(&quot;$&quot;* &quot;-&quot;??_);_(@_)"/>
    <numFmt numFmtId="170" formatCode="_(* #,##0_);_(* \(#,##0\);_(* &quot;-&quot;_);_(@_)"/>
    <numFmt numFmtId="171" formatCode="_(* #,##0.00_);_(* \(#,##0.00\);_(* &quot;-&quot;??_);_(@_)"/>
    <numFmt numFmtId="172" formatCode="#,##0.0_ ;[Red]\-#,##0.0\ "/>
    <numFmt numFmtId="173" formatCode="0.0;\(0.0\);\ ;\-"/>
    <numFmt numFmtId="174" formatCode="dd\.mm\.yyyy;@"/>
    <numFmt numFmtId="175" formatCode="_(* #,##0_);_(* \(#,##0\);_(* &quot;-&quot;??_);_(@_)"/>
    <numFmt numFmtId="176" formatCode="_(* #,##0.0_);_(* \(#,##0.0\);_(* &quot;-&quot;??_);_(@_)"/>
    <numFmt numFmtId="177" formatCode="0.0%"/>
    <numFmt numFmtId="178" formatCode="0.000"/>
    <numFmt numFmtId="179" formatCode="#,##0.000"/>
    <numFmt numFmtId="180" formatCode="_(* #,##0.00_);_(* \(#,##0.00\);_(* &quot;-&quot;_);_(@_)"/>
    <numFmt numFmtId="181" formatCode="_(* #,##0.0000_);_(* \(#,##0.0000\);_(* &quot;-&quot;??_);_(@_)"/>
  </numFmts>
  <fonts count="127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b/>
      <u/>
      <sz val="8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0"/>
      <name val="Arial Cyr"/>
      <charset val="204"/>
    </font>
    <font>
      <i/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4"/>
      <color rgb="FFFF0000"/>
      <name val="Times New Roman"/>
      <family val="1"/>
      <charset val="204"/>
    </font>
    <font>
      <sz val="12"/>
      <color rgb="FF3A3A3A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color rgb="FF3A3A3A"/>
      <name val="Calibri"/>
      <family val="2"/>
      <charset val="204"/>
      <scheme val="minor"/>
    </font>
    <font>
      <sz val="10"/>
      <color rgb="FF3A3A3A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4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68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69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" fillId="0" borderId="0"/>
    <xf numFmtId="0" fontId="109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0" fontId="65" fillId="0" borderId="0" applyFont="0" applyFill="0" applyBorder="0" applyAlignment="0" applyProtection="0"/>
    <xf numFmtId="171" fontId="6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3" fontId="67" fillId="22" borderId="12" applyFill="0" applyBorder="0">
      <alignment horizontal="center" vertical="center" wrapText="1"/>
      <protection locked="0"/>
    </xf>
    <xf numFmtId="168" fontId="68" fillId="0" borderId="0">
      <alignment wrapText="1"/>
    </xf>
    <xf numFmtId="168" fontId="35" fillId="0" borderId="0">
      <alignment wrapText="1"/>
    </xf>
  </cellStyleXfs>
  <cellXfs count="742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67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167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75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7" fontId="5" fillId="29" borderId="3" xfId="0" applyNumberFormat="1" applyFont="1" applyFill="1" applyBorder="1" applyAlignment="1">
      <alignment horizontal="center" vertical="center" wrapText="1"/>
    </xf>
    <xf numFmtId="166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67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9" fillId="0" borderId="3" xfId="0" applyFont="1" applyFill="1" applyBorder="1" applyAlignment="1">
      <alignment horizontal="left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70" fillId="0" borderId="3" xfId="237" applyFont="1" applyFill="1" applyBorder="1" applyAlignment="1">
      <alignment horizontal="center" vertical="center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175" fontId="9" fillId="0" borderId="3" xfId="0" applyNumberFormat="1" applyFont="1" applyFill="1" applyBorder="1" applyAlignment="1">
      <alignment horizontal="center" vertical="center" wrapText="1"/>
    </xf>
    <xf numFmtId="175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67" fontId="9" fillId="29" borderId="3" xfId="0" applyNumberFormat="1" applyFont="1" applyFill="1" applyBorder="1" applyAlignment="1">
      <alignment horizontal="center" vertical="center" wrapText="1"/>
    </xf>
    <xf numFmtId="167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6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5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237" applyNumberFormat="1" applyFont="1" applyFill="1" applyBorder="1" applyAlignment="1">
      <alignment horizontal="left" vertical="center" wrapText="1"/>
    </xf>
    <xf numFmtId="170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0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170" fontId="76" fillId="0" borderId="3" xfId="0" applyNumberFormat="1" applyFont="1" applyFill="1" applyBorder="1" applyAlignment="1">
      <alignment horizontal="center" vertical="center" wrapText="1"/>
    </xf>
    <xf numFmtId="170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/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77" fillId="0" borderId="0" xfId="285" applyFont="1" applyFill="1" applyBorder="1" applyAlignment="1">
      <alignment vertical="center" wrapText="1"/>
    </xf>
    <xf numFmtId="166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8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70" fillId="29" borderId="3" xfId="0" quotePrefix="1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0" fontId="89" fillId="0" borderId="15" xfId="0" applyFont="1" applyFill="1" applyBorder="1" applyAlignment="1">
      <alignment vertical="center"/>
    </xf>
    <xf numFmtId="0" fontId="89" fillId="0" borderId="3" xfId="0" applyFont="1" applyFill="1" applyBorder="1" applyAlignment="1">
      <alignment horizontal="left" vertical="center"/>
    </xf>
    <xf numFmtId="170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170" fontId="4" fillId="0" borderId="3" xfId="0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7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8" fillId="0" borderId="22" xfId="0" applyNumberFormat="1" applyFont="1" applyFill="1" applyBorder="1" applyAlignment="1">
      <alignment horizontal="center" vertical="center"/>
    </xf>
    <xf numFmtId="49" fontId="88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70" fillId="0" borderId="3" xfId="0" applyFont="1" applyFill="1" applyBorder="1" applyAlignment="1">
      <alignment vertical="center"/>
    </xf>
    <xf numFmtId="0" fontId="87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5" fillId="0" borderId="3" xfId="0" applyFont="1" applyFill="1" applyBorder="1" applyAlignment="1">
      <alignment horizontal="center" wrapText="1"/>
    </xf>
    <xf numFmtId="0" fontId="79" fillId="0" borderId="3" xfId="0" applyFont="1" applyFill="1" applyBorder="1" applyAlignment="1">
      <alignment wrapText="1"/>
    </xf>
    <xf numFmtId="0" fontId="80" fillId="0" borderId="3" xfId="0" applyFont="1" applyFill="1" applyBorder="1" applyAlignment="1">
      <alignment wrapText="1"/>
    </xf>
    <xf numFmtId="0" fontId="81" fillId="0" borderId="3" xfId="0" applyFont="1" applyFill="1" applyBorder="1" applyAlignment="1">
      <alignment wrapText="1"/>
    </xf>
    <xf numFmtId="0" fontId="49" fillId="0" borderId="3" xfId="285" applyFont="1" applyFill="1" applyBorder="1" applyAlignment="1">
      <alignment horizontal="center" vertical="center" wrapText="1"/>
    </xf>
    <xf numFmtId="0" fontId="49" fillId="0" borderId="3" xfId="285" applyFont="1" applyFill="1" applyBorder="1" applyAlignment="1">
      <alignment vertical="center" wrapText="1"/>
    </xf>
    <xf numFmtId="0" fontId="82" fillId="0" borderId="3" xfId="285" applyFont="1" applyFill="1" applyBorder="1" applyAlignment="1">
      <alignment vertical="center" wrapText="1"/>
    </xf>
    <xf numFmtId="0" fontId="12" fillId="0" borderId="3" xfId="285" applyFont="1" applyFill="1" applyBorder="1" applyAlignment="1">
      <alignment horizontal="left" vertical="center" wrapText="1"/>
    </xf>
    <xf numFmtId="2" fontId="12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2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0" xfId="285" applyFont="1" applyFill="1" applyBorder="1" applyAlignment="1">
      <alignment horizontal="left"/>
    </xf>
    <xf numFmtId="0" fontId="49" fillId="0" borderId="0" xfId="285" applyFont="1" applyFill="1" applyBorder="1" applyAlignment="1">
      <alignment horizontal="center"/>
    </xf>
    <xf numFmtId="0" fontId="12" fillId="0" borderId="0" xfId="285" applyFill="1" applyAlignment="1">
      <alignment horizontal="center"/>
    </xf>
    <xf numFmtId="0" fontId="12" fillId="0" borderId="0" xfId="285" applyFont="1" applyFill="1" applyAlignment="1" applyProtection="1">
      <protection locked="0"/>
    </xf>
    <xf numFmtId="0" fontId="12" fillId="0" borderId="0" xfId="285" applyFont="1" applyFill="1" applyProtection="1">
      <protection locked="0"/>
    </xf>
    <xf numFmtId="0" fontId="85" fillId="0" borderId="0" xfId="0" applyFont="1" applyFill="1" applyAlignment="1">
      <alignment horizontal="justify"/>
    </xf>
    <xf numFmtId="0" fontId="86" fillId="0" borderId="3" xfId="0" applyFont="1" applyFill="1" applyBorder="1" applyAlignment="1">
      <alignment horizontal="center" vertical="center" wrapText="1"/>
    </xf>
    <xf numFmtId="0" fontId="86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1" fontId="5" fillId="0" borderId="3" xfId="0" applyNumberFormat="1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4" fillId="29" borderId="3" xfId="292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2" fontId="9" fillId="29" borderId="3" xfId="292" applyNumberFormat="1" applyFont="1" applyFill="1" applyBorder="1" applyAlignment="1">
      <alignment horizontal="center" vertical="center" wrapText="1"/>
    </xf>
    <xf numFmtId="2" fontId="76" fillId="29" borderId="3" xfId="292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2" fontId="70" fillId="0" borderId="0" xfId="0" applyNumberFormat="1" applyFont="1" applyFill="1" applyBorder="1" applyAlignment="1">
      <alignment horizontal="center" vertical="justify"/>
    </xf>
    <xf numFmtId="1" fontId="11" fillId="0" borderId="3" xfId="0" applyNumberFormat="1" applyFont="1" applyFill="1" applyBorder="1" applyAlignment="1">
      <alignment horizontal="center" vertical="center" wrapText="1"/>
    </xf>
    <xf numFmtId="2" fontId="5" fillId="0" borderId="0" xfId="245" applyNumberFormat="1" applyFont="1" applyFill="1" applyBorder="1" applyAlignment="1">
      <alignment horizontal="center" vertical="center"/>
    </xf>
    <xf numFmtId="1" fontId="70" fillId="0" borderId="3" xfId="245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right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vertical="center"/>
    </xf>
    <xf numFmtId="1" fontId="70" fillId="0" borderId="3" xfId="0" applyNumberFormat="1" applyFont="1" applyFill="1" applyBorder="1" applyAlignment="1">
      <alignment horizontal="center" vertical="center" wrapText="1" shrinkToFit="1"/>
    </xf>
    <xf numFmtId="166" fontId="5" fillId="29" borderId="3" xfId="292" applyNumberFormat="1" applyFont="1" applyFill="1" applyBorder="1" applyAlignment="1">
      <alignment horizontal="center" vertical="center" wrapText="1"/>
    </xf>
    <xf numFmtId="170" fontId="4" fillId="29" borderId="3" xfId="0" applyNumberFormat="1" applyFont="1" applyFill="1" applyBorder="1" applyAlignment="1" applyProtection="1">
      <alignment horizontal="center" vertical="center" wrapText="1"/>
    </xf>
    <xf numFmtId="1" fontId="74" fillId="0" borderId="3" xfId="0" applyNumberFormat="1" applyFont="1" applyFill="1" applyBorder="1" applyAlignment="1">
      <alignment horizontal="center" wrapText="1"/>
    </xf>
    <xf numFmtId="0" fontId="9" fillId="0" borderId="3" xfId="0" applyFont="1" applyBorder="1" applyAlignment="1">
      <alignment horizontal="justify" vertical="center"/>
    </xf>
    <xf numFmtId="0" fontId="5" fillId="0" borderId="1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5" fillId="0" borderId="24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94" fillId="0" borderId="3" xfId="0" applyFont="1" applyBorder="1" applyAlignment="1">
      <alignment horizontal="center" vertical="center" wrapText="1"/>
    </xf>
    <xf numFmtId="166" fontId="95" fillId="22" borderId="3" xfId="0" applyNumberFormat="1" applyFont="1" applyFill="1" applyBorder="1" applyAlignment="1">
      <alignment horizontal="center" vertical="center"/>
    </xf>
    <xf numFmtId="0" fontId="96" fillId="0" borderId="3" xfId="0" applyFont="1" applyBorder="1" applyAlignment="1">
      <alignment horizontal="center" vertical="center" wrapText="1"/>
    </xf>
    <xf numFmtId="0" fontId="97" fillId="0" borderId="3" xfId="0" applyFont="1" applyBorder="1" applyAlignment="1">
      <alignment horizontal="center" vertical="center"/>
    </xf>
    <xf numFmtId="0" fontId="71" fillId="0" borderId="3" xfId="0" applyFont="1" applyFill="1" applyBorder="1" applyAlignment="1">
      <alignment horizontal="left" vertical="center" wrapText="1"/>
    </xf>
    <xf numFmtId="0" fontId="95" fillId="22" borderId="3" xfId="0" applyFont="1" applyFill="1" applyBorder="1" applyAlignment="1">
      <alignment horizontal="center" vertical="center"/>
    </xf>
    <xf numFmtId="0" fontId="98" fillId="0" borderId="3" xfId="0" applyFont="1" applyBorder="1" applyAlignment="1">
      <alignment vertical="center" wrapText="1"/>
    </xf>
    <xf numFmtId="0" fontId="99" fillId="0" borderId="3" xfId="0" applyFont="1" applyBorder="1" applyAlignment="1">
      <alignment horizontal="center" vertical="center" wrapText="1"/>
    </xf>
    <xf numFmtId="0" fontId="95" fillId="0" borderId="3" xfId="0" applyFont="1" applyBorder="1" applyAlignment="1">
      <alignment horizontal="center" vertical="center"/>
    </xf>
    <xf numFmtId="166" fontId="95" fillId="0" borderId="3" xfId="0" applyNumberFormat="1" applyFont="1" applyBorder="1" applyAlignment="1">
      <alignment horizontal="center" vertical="center"/>
    </xf>
    <xf numFmtId="166" fontId="100" fillId="0" borderId="3" xfId="0" applyNumberFormat="1" applyFont="1" applyBorder="1" applyAlignment="1">
      <alignment horizontal="center" vertical="center"/>
    </xf>
    <xf numFmtId="0" fontId="101" fillId="0" borderId="3" xfId="0" applyFont="1" applyBorder="1" applyAlignment="1">
      <alignment vertical="center" wrapText="1"/>
    </xf>
    <xf numFmtId="0" fontId="102" fillId="0" borderId="3" xfId="0" applyFont="1" applyBorder="1" applyAlignment="1">
      <alignment horizontal="center" vertical="center" wrapText="1"/>
    </xf>
    <xf numFmtId="0" fontId="103" fillId="0" borderId="3" xfId="0" applyFont="1" applyBorder="1" applyAlignment="1">
      <alignment vertical="center" wrapText="1"/>
    </xf>
    <xf numFmtId="0" fontId="104" fillId="0" borderId="3" xfId="0" applyFont="1" applyBorder="1" applyAlignment="1">
      <alignment horizontal="center" vertical="center" wrapText="1"/>
    </xf>
    <xf numFmtId="0" fontId="105" fillId="0" borderId="3" xfId="0" applyFont="1" applyBorder="1" applyAlignment="1">
      <alignment horizontal="center" vertical="center"/>
    </xf>
    <xf numFmtId="0" fontId="92" fillId="0" borderId="3" xfId="0" applyFont="1" applyBorder="1" applyAlignment="1">
      <alignment horizontal="center" vertical="center"/>
    </xf>
    <xf numFmtId="0" fontId="93" fillId="0" borderId="3" xfId="0" applyFont="1" applyBorder="1" applyAlignment="1">
      <alignment horizontal="center" vertical="center"/>
    </xf>
    <xf numFmtId="0" fontId="75" fillId="0" borderId="3" xfId="245" applyFont="1" applyFill="1" applyBorder="1" applyAlignment="1">
      <alignment horizontal="left" vertical="center" wrapText="1"/>
    </xf>
    <xf numFmtId="0" fontId="106" fillId="0" borderId="3" xfId="0" applyFont="1" applyBorder="1" applyAlignment="1">
      <alignment vertical="center" wrapText="1"/>
    </xf>
    <xf numFmtId="1" fontId="0" fillId="0" borderId="0" xfId="0" applyNumberFormat="1"/>
    <xf numFmtId="0" fontId="88" fillId="0" borderId="3" xfId="0" applyFont="1" applyBorder="1" applyAlignment="1">
      <alignment horizontal="center" vertical="center"/>
    </xf>
    <xf numFmtId="1" fontId="88" fillId="0" borderId="3" xfId="0" applyNumberFormat="1" applyFont="1" applyBorder="1" applyAlignment="1">
      <alignment horizontal="center" vertical="center"/>
    </xf>
    <xf numFmtId="0" fontId="75" fillId="0" borderId="3" xfId="0" applyFont="1" applyBorder="1" applyAlignment="1">
      <alignment horizontal="center" vertical="center"/>
    </xf>
    <xf numFmtId="0" fontId="107" fillId="0" borderId="3" xfId="0" applyFont="1" applyBorder="1" applyAlignment="1">
      <alignment vertical="center" wrapText="1"/>
    </xf>
    <xf numFmtId="0" fontId="93" fillId="22" borderId="3" xfId="0" applyFont="1" applyFill="1" applyBorder="1" applyAlignment="1">
      <alignment horizontal="left" vertical="center" wrapText="1"/>
    </xf>
    <xf numFmtId="0" fontId="108" fillId="0" borderId="3" xfId="0" applyFont="1" applyBorder="1" applyAlignment="1">
      <alignment vertical="center" wrapText="1"/>
    </xf>
    <xf numFmtId="0" fontId="71" fillId="0" borderId="3" xfId="245" applyFont="1" applyFill="1" applyBorder="1" applyAlignment="1">
      <alignment horizontal="left" vertical="center" wrapText="1"/>
    </xf>
    <xf numFmtId="0" fontId="69" fillId="0" borderId="3" xfId="0" applyFont="1" applyFill="1" applyBorder="1" applyAlignment="1">
      <alignment horizontal="left" vertical="center" wrapText="1"/>
    </xf>
    <xf numFmtId="1" fontId="34" fillId="0" borderId="3" xfId="285" applyNumberFormat="1" applyFont="1" applyFill="1" applyBorder="1" applyAlignment="1">
      <alignment vertical="center" wrapText="1"/>
    </xf>
    <xf numFmtId="0" fontId="70" fillId="0" borderId="0" xfId="245" applyFont="1" applyFill="1" applyBorder="1" applyAlignment="1">
      <alignment vertical="center" wrapText="1"/>
    </xf>
    <xf numFmtId="179" fontId="5" fillId="0" borderId="3" xfId="237" applyNumberFormat="1" applyFont="1" applyFill="1" applyBorder="1" applyAlignment="1">
      <alignment horizontal="center" vertical="center" wrapText="1"/>
    </xf>
    <xf numFmtId="178" fontId="5" fillId="0" borderId="3" xfId="237" applyNumberFormat="1" applyFont="1" applyFill="1" applyBorder="1" applyAlignment="1">
      <alignment horizontal="center" vertical="center" wrapText="1"/>
    </xf>
    <xf numFmtId="178" fontId="11" fillId="0" borderId="3" xfId="0" applyNumberFormat="1" applyFont="1" applyFill="1" applyBorder="1" applyAlignment="1">
      <alignment vertical="center"/>
    </xf>
    <xf numFmtId="176" fontId="5" fillId="29" borderId="3" xfId="0" applyNumberFormat="1" applyFont="1" applyFill="1" applyBorder="1" applyAlignment="1">
      <alignment horizontal="center" vertical="center" wrapText="1"/>
    </xf>
    <xf numFmtId="180" fontId="5" fillId="29" borderId="3" xfId="0" applyNumberFormat="1" applyFont="1" applyFill="1" applyBorder="1" applyAlignment="1">
      <alignment horizontal="center" vertical="center" wrapText="1"/>
    </xf>
    <xf numFmtId="0" fontId="110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justify" vertical="center"/>
    </xf>
    <xf numFmtId="0" fontId="110" fillId="0" borderId="3" xfId="0" applyFont="1" applyBorder="1" applyAlignment="1">
      <alignment vertical="center"/>
    </xf>
    <xf numFmtId="0" fontId="12" fillId="0" borderId="3" xfId="285" applyBorder="1" applyAlignment="1">
      <alignment horizontal="center" vertical="top"/>
    </xf>
    <xf numFmtId="176" fontId="4" fillId="29" borderId="3" xfId="0" applyNumberFormat="1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left" vertical="center" wrapText="1"/>
    </xf>
    <xf numFmtId="170" fontId="5" fillId="0" borderId="0" xfId="0" applyNumberFormat="1" applyFont="1" applyFill="1" applyAlignment="1">
      <alignment vertical="center"/>
    </xf>
    <xf numFmtId="0" fontId="111" fillId="0" borderId="0" xfId="0" applyFont="1"/>
    <xf numFmtId="175" fontId="5" fillId="32" borderId="3" xfId="0" applyNumberFormat="1" applyFont="1" applyFill="1" applyBorder="1" applyAlignment="1">
      <alignment horizontal="center" vertical="center" wrapText="1"/>
    </xf>
    <xf numFmtId="176" fontId="5" fillId="32" borderId="3" xfId="0" applyNumberFormat="1" applyFont="1" applyFill="1" applyBorder="1" applyAlignment="1">
      <alignment horizontal="center" vertical="center" wrapText="1"/>
    </xf>
    <xf numFmtId="2" fontId="5" fillId="0" borderId="3" xfId="237" applyNumberFormat="1" applyFont="1" applyFill="1" applyBorder="1" applyAlignment="1">
      <alignment horizontal="center" vertical="center" wrapText="1"/>
    </xf>
    <xf numFmtId="166" fontId="5" fillId="0" borderId="3" xfId="237" applyNumberFormat="1" applyFont="1" applyFill="1" applyBorder="1" applyAlignment="1">
      <alignment horizontal="center" vertical="center" wrapText="1"/>
    </xf>
    <xf numFmtId="1" fontId="5" fillId="0" borderId="3" xfId="237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5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 vertical="top"/>
    </xf>
    <xf numFmtId="0" fontId="75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5" fillId="0" borderId="18" xfId="0" applyFont="1" applyFill="1" applyBorder="1" applyAlignment="1"/>
    <xf numFmtId="0" fontId="11" fillId="0" borderId="0" xfId="285" applyFont="1" applyFill="1" applyProtection="1">
      <protection locked="0"/>
    </xf>
    <xf numFmtId="0" fontId="69" fillId="0" borderId="0" xfId="0" applyFont="1" applyFill="1" applyBorder="1" applyAlignment="1">
      <alignment horizontal="left" wrapText="1"/>
    </xf>
    <xf numFmtId="167" fontId="9" fillId="0" borderId="0" xfId="0" applyNumberFormat="1" applyFont="1" applyFill="1" applyBorder="1" applyAlignment="1">
      <alignment horizontal="center" wrapText="1"/>
    </xf>
    <xf numFmtId="167" fontId="9" fillId="0" borderId="0" xfId="0" quotePrefix="1" applyNumberFormat="1" applyFont="1" applyFill="1" applyBorder="1" applyAlignment="1">
      <alignment wrapText="1"/>
    </xf>
    <xf numFmtId="0" fontId="9" fillId="0" borderId="0" xfId="0" applyFont="1" applyFill="1" applyBorder="1" applyAlignment="1">
      <alignment horizontal="center" vertical="justify"/>
    </xf>
    <xf numFmtId="0" fontId="9" fillId="0" borderId="0" xfId="0" applyFont="1" applyFill="1" applyBorder="1" applyAlignment="1">
      <alignment vertical="justify"/>
    </xf>
    <xf numFmtId="0" fontId="9" fillId="0" borderId="0" xfId="285" applyFont="1" applyFill="1" applyAlignment="1" applyProtection="1">
      <protection locked="0"/>
    </xf>
    <xf numFmtId="0" fontId="11" fillId="0" borderId="0" xfId="245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left" vertical="justify" wrapText="1"/>
    </xf>
    <xf numFmtId="170" fontId="5" fillId="32" borderId="3" xfId="0" applyNumberFormat="1" applyFont="1" applyFill="1" applyBorder="1" applyAlignment="1">
      <alignment horizontal="center" vertical="center" wrapText="1"/>
    </xf>
    <xf numFmtId="0" fontId="113" fillId="0" borderId="0" xfId="0" applyFont="1"/>
    <xf numFmtId="0" fontId="4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75" fontId="5" fillId="0" borderId="3" xfId="0" applyNumberFormat="1" applyFont="1" applyFill="1" applyBorder="1" applyAlignment="1">
      <alignment horizontal="center" vertical="center" wrapText="1"/>
    </xf>
    <xf numFmtId="175" fontId="5" fillId="29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181" fontId="5" fillId="32" borderId="3" xfId="0" applyNumberFormat="1" applyFont="1" applyFill="1" applyBorder="1" applyAlignment="1">
      <alignment horizontal="center" vertical="center" wrapText="1"/>
    </xf>
    <xf numFmtId="178" fontId="86" fillId="32" borderId="3" xfId="0" applyNumberFormat="1" applyFont="1" applyFill="1" applyBorder="1" applyAlignment="1">
      <alignment horizontal="center" vertical="top" wrapText="1"/>
    </xf>
    <xf numFmtId="177" fontId="86" fillId="32" borderId="3" xfId="292" applyNumberFormat="1" applyFont="1" applyFill="1" applyBorder="1" applyAlignment="1">
      <alignment horizontal="center" vertical="top" wrapText="1"/>
    </xf>
    <xf numFmtId="0" fontId="110" fillId="0" borderId="3" xfId="0" applyFont="1" applyBorder="1" applyAlignment="1">
      <alignment horizontal="right" vertical="center" wrapText="1"/>
    </xf>
    <xf numFmtId="0" fontId="110" fillId="0" borderId="3" xfId="0" applyFont="1" applyBorder="1" applyAlignment="1">
      <alignment horizontal="right" vertical="center"/>
    </xf>
    <xf numFmtId="0" fontId="12" fillId="0" borderId="0" xfId="285" applyBorder="1" applyAlignment="1">
      <alignment horizontal="center"/>
    </xf>
    <xf numFmtId="0" fontId="12" fillId="0" borderId="0" xfId="285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>
      <alignment horizontal="center"/>
    </xf>
    <xf numFmtId="0" fontId="70" fillId="0" borderId="0" xfId="285" applyFont="1" applyAlignment="1" applyProtection="1">
      <alignment horizontal="right"/>
      <protection locked="0"/>
    </xf>
    <xf numFmtId="0" fontId="70" fillId="0" borderId="0" xfId="285" applyFont="1" applyProtection="1">
      <protection locked="0"/>
    </xf>
    <xf numFmtId="0" fontId="70" fillId="0" borderId="0" xfId="0" applyFont="1"/>
    <xf numFmtId="0" fontId="11" fillId="0" borderId="0" xfId="285" applyFont="1"/>
    <xf numFmtId="0" fontId="9" fillId="0" borderId="0" xfId="285" applyFont="1" applyFill="1" applyBorder="1" applyAlignment="1">
      <alignment horizontal="center" vertical="center" wrapText="1"/>
    </xf>
    <xf numFmtId="0" fontId="11" fillId="0" borderId="0" xfId="285" applyFont="1" applyFill="1" applyBorder="1" applyAlignment="1">
      <alignment vertical="top" wrapText="1"/>
    </xf>
    <xf numFmtId="0" fontId="11" fillId="0" borderId="0" xfId="285" applyFont="1" applyFill="1" applyBorder="1" applyAlignment="1">
      <alignment horizontal="right" wrapText="1"/>
    </xf>
    <xf numFmtId="0" fontId="11" fillId="0" borderId="3" xfId="285" applyFont="1" applyFill="1" applyBorder="1" applyAlignment="1" applyProtection="1">
      <alignment horizontal="center" vertical="center" wrapText="1"/>
      <protection locked="0"/>
    </xf>
    <xf numFmtId="0" fontId="11" fillId="0" borderId="3" xfId="285" applyFont="1" applyFill="1" applyBorder="1" applyAlignment="1">
      <alignment horizontal="center" vertical="center" wrapText="1"/>
    </xf>
    <xf numFmtId="0" fontId="11" fillId="0" borderId="3" xfId="285" applyFont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13" xfId="285" applyFont="1" applyBorder="1" applyAlignment="1">
      <alignment horizontal="center"/>
    </xf>
    <xf numFmtId="0" fontId="11" fillId="0" borderId="13" xfId="285" applyFont="1" applyFill="1" applyBorder="1" applyAlignment="1" applyProtection="1">
      <alignment horizontal="center" vertical="center" wrapText="1"/>
      <protection locked="0"/>
    </xf>
    <xf numFmtId="0" fontId="11" fillId="0" borderId="13" xfId="0" applyFont="1" applyBorder="1" applyAlignment="1">
      <alignment horizontal="center"/>
    </xf>
    <xf numFmtId="0" fontId="11" fillId="0" borderId="3" xfId="285" applyFont="1" applyBorder="1" applyAlignment="1">
      <alignment horizontal="center" vertical="top"/>
    </xf>
    <xf numFmtId="0" fontId="11" fillId="0" borderId="3" xfId="285" applyFont="1" applyFill="1" applyBorder="1" applyAlignment="1" applyProtection="1">
      <alignment horizontal="center" vertical="top" wrapText="1"/>
      <protection locked="0"/>
    </xf>
    <xf numFmtId="0" fontId="11" fillId="0" borderId="3" xfId="0" applyFont="1" applyBorder="1" applyAlignment="1">
      <alignment horizontal="center" vertical="top"/>
    </xf>
    <xf numFmtId="166" fontId="105" fillId="0" borderId="3" xfId="0" applyNumberFormat="1" applyFont="1" applyBorder="1" applyAlignment="1">
      <alignment horizontal="center" vertical="center"/>
    </xf>
    <xf numFmtId="170" fontId="114" fillId="29" borderId="3" xfId="0" applyNumberFormat="1" applyFont="1" applyFill="1" applyBorder="1" applyAlignment="1">
      <alignment horizontal="center" vertical="center" wrapText="1"/>
    </xf>
    <xf numFmtId="1" fontId="12" fillId="32" borderId="3" xfId="285" applyNumberFormat="1" applyFont="1" applyFill="1" applyBorder="1" applyAlignment="1" applyProtection="1">
      <alignment horizontal="right" vertical="center" wrapText="1"/>
      <protection locked="0"/>
    </xf>
    <xf numFmtId="0" fontId="12" fillId="32" borderId="3" xfId="285" applyFont="1" applyFill="1" applyBorder="1" applyAlignment="1" applyProtection="1">
      <alignment horizontal="right" vertical="center" wrapText="1"/>
      <protection locked="0"/>
    </xf>
    <xf numFmtId="0" fontId="93" fillId="0" borderId="3" xfId="245" applyFont="1" applyFill="1" applyBorder="1" applyAlignment="1">
      <alignment horizontal="left" vertical="center" wrapText="1"/>
    </xf>
    <xf numFmtId="0" fontId="118" fillId="0" borderId="3" xfId="0" applyFont="1" applyBorder="1" applyAlignment="1">
      <alignment horizontal="center" vertical="center"/>
    </xf>
    <xf numFmtId="0" fontId="119" fillId="32" borderId="0" xfId="0" applyFont="1" applyFill="1" applyAlignment="1">
      <alignment vertical="center"/>
    </xf>
    <xf numFmtId="170" fontId="119" fillId="32" borderId="3" xfId="0" applyNumberFormat="1" applyFont="1" applyFill="1" applyBorder="1" applyAlignment="1">
      <alignment horizontal="center" vertical="center" wrapText="1"/>
    </xf>
    <xf numFmtId="170" fontId="4" fillId="32" borderId="3" xfId="0" applyNumberFormat="1" applyFont="1" applyFill="1" applyBorder="1" applyAlignment="1">
      <alignment horizontal="center" vertical="center" wrapText="1"/>
    </xf>
    <xf numFmtId="175" fontId="9" fillId="0" borderId="3" xfId="0" applyNumberFormat="1" applyFont="1" applyFill="1" applyBorder="1" applyAlignment="1">
      <alignment horizontal="center" vertical="center" wrapText="1"/>
    </xf>
    <xf numFmtId="175" fontId="9" fillId="29" borderId="3" xfId="0" applyNumberFormat="1" applyFont="1" applyFill="1" applyBorder="1" applyAlignment="1">
      <alignment horizontal="center" vertical="center" wrapText="1"/>
    </xf>
    <xf numFmtId="0" fontId="12" fillId="0" borderId="3" xfId="285" applyBorder="1" applyAlignment="1">
      <alignment horizontal="center"/>
    </xf>
    <xf numFmtId="0" fontId="120" fillId="0" borderId="3" xfId="0" applyFont="1" applyBorder="1" applyAlignment="1">
      <alignment horizontal="left" vertical="top" wrapText="1"/>
    </xf>
    <xf numFmtId="0" fontId="12" fillId="0" borderId="3" xfId="285" applyFont="1" applyFill="1" applyBorder="1" applyAlignment="1" applyProtection="1">
      <alignment vertical="center" wrapText="1"/>
      <protection locked="0"/>
    </xf>
    <xf numFmtId="0" fontId="110" fillId="0" borderId="3" xfId="0" applyFont="1" applyFill="1" applyBorder="1" applyAlignment="1">
      <alignment horizontal="right" vertical="center" wrapText="1"/>
    </xf>
    <xf numFmtId="0" fontId="12" fillId="0" borderId="3" xfId="285" applyBorder="1" applyAlignment="1">
      <alignment horizontal="center" vertical="top" wrapText="1"/>
    </xf>
    <xf numFmtId="0" fontId="0" fillId="0" borderId="3" xfId="0" applyFill="1" applyBorder="1" applyAlignment="1">
      <alignment horizontal="right" vertical="center"/>
    </xf>
    <xf numFmtId="0" fontId="12" fillId="0" borderId="3" xfId="285" applyBorder="1" applyAlignment="1">
      <alignment wrapText="1"/>
    </xf>
    <xf numFmtId="0" fontId="12" fillId="0" borderId="3" xfId="285" applyBorder="1" applyAlignment="1">
      <alignment horizontal="center" wrapText="1"/>
    </xf>
    <xf numFmtId="0" fontId="0" fillId="0" borderId="3" xfId="0" applyBorder="1" applyAlignment="1">
      <alignment horizontal="right" vertical="center"/>
    </xf>
    <xf numFmtId="0" fontId="120" fillId="0" borderId="3" xfId="0" applyFont="1" applyBorder="1" applyAlignment="1">
      <alignment vertical="top" wrapText="1"/>
    </xf>
    <xf numFmtId="0" fontId="12" fillId="0" borderId="3" xfId="285" applyBorder="1" applyAlignment="1">
      <alignment horizontal="center" vertical="center" wrapText="1"/>
    </xf>
    <xf numFmtId="0" fontId="110" fillId="0" borderId="3" xfId="0" applyFont="1" applyFill="1" applyBorder="1" applyAlignment="1">
      <alignment horizontal="right" vertical="center"/>
    </xf>
    <xf numFmtId="0" fontId="120" fillId="0" borderId="3" xfId="0" applyFont="1" applyBorder="1" applyAlignment="1">
      <alignment vertical="top"/>
    </xf>
    <xf numFmtId="0" fontId="12" fillId="0" borderId="14" xfId="285" applyBorder="1" applyAlignment="1"/>
    <xf numFmtId="0" fontId="12" fillId="0" borderId="3" xfId="285" applyBorder="1" applyAlignment="1"/>
    <xf numFmtId="0" fontId="12" fillId="0" borderId="3" xfId="0" applyFont="1" applyBorder="1" applyAlignment="1">
      <alignment vertical="top" wrapText="1"/>
    </xf>
    <xf numFmtId="0" fontId="0" fillId="0" borderId="3" xfId="0" applyBorder="1" applyAlignment="1">
      <alignment vertical="center"/>
    </xf>
    <xf numFmtId="0" fontId="12" fillId="0" borderId="3" xfId="285" applyFill="1" applyBorder="1" applyAlignment="1">
      <alignment horizontal="center"/>
    </xf>
    <xf numFmtId="0" fontId="0" fillId="0" borderId="3" xfId="0" applyFill="1" applyBorder="1" applyAlignment="1">
      <alignment vertical="top" wrapText="1"/>
    </xf>
    <xf numFmtId="0" fontId="0" fillId="0" borderId="3" xfId="0" applyFill="1" applyBorder="1" applyAlignment="1">
      <alignment wrapText="1"/>
    </xf>
    <xf numFmtId="0" fontId="12" fillId="0" borderId="3" xfId="285" applyFill="1" applyBorder="1" applyAlignment="1">
      <alignment horizontal="center" vertical="top" wrapText="1"/>
    </xf>
    <xf numFmtId="0" fontId="12" fillId="0" borderId="3" xfId="285" applyFill="1" applyBorder="1" applyAlignment="1">
      <alignment horizontal="center" vertical="top"/>
    </xf>
    <xf numFmtId="0" fontId="12" fillId="0" borderId="3" xfId="285" applyFill="1" applyBorder="1" applyAlignment="1">
      <alignment horizontal="center" wrapText="1"/>
    </xf>
    <xf numFmtId="0" fontId="121" fillId="0" borderId="3" xfId="0" applyFont="1" applyBorder="1" applyAlignment="1">
      <alignment vertical="center" wrapText="1"/>
    </xf>
    <xf numFmtId="0" fontId="0" fillId="0" borderId="3" xfId="0" applyBorder="1" applyAlignment="1">
      <alignment vertical="top" wrapText="1"/>
    </xf>
    <xf numFmtId="0" fontId="121" fillId="0" borderId="3" xfId="0" applyFont="1" applyFill="1" applyBorder="1" applyAlignment="1">
      <alignment vertical="center" wrapText="1"/>
    </xf>
    <xf numFmtId="0" fontId="0" fillId="0" borderId="3" xfId="0" applyFill="1" applyBorder="1" applyAlignment="1">
      <alignment horizontal="left" vertical="top" wrapText="1"/>
    </xf>
    <xf numFmtId="0" fontId="122" fillId="0" borderId="3" xfId="0" applyFont="1" applyFill="1" applyBorder="1" applyAlignment="1">
      <alignment vertical="center" wrapText="1"/>
    </xf>
    <xf numFmtId="0" fontId="122" fillId="0" borderId="3" xfId="0" applyFont="1" applyBorder="1" applyAlignment="1">
      <alignment vertical="center" wrapText="1"/>
    </xf>
    <xf numFmtId="0" fontId="0" fillId="0" borderId="3" xfId="0" applyBorder="1" applyAlignment="1">
      <alignment wrapText="1"/>
    </xf>
    <xf numFmtId="0" fontId="123" fillId="0" borderId="0" xfId="0" applyFont="1" applyAlignment="1">
      <alignment wrapText="1"/>
    </xf>
    <xf numFmtId="0" fontId="122" fillId="0" borderId="3" xfId="0" applyFont="1" applyBorder="1" applyAlignment="1">
      <alignment vertical="top" wrapText="1"/>
    </xf>
    <xf numFmtId="0" fontId="115" fillId="0" borderId="3" xfId="0" applyFont="1" applyBorder="1" applyAlignment="1">
      <alignment vertical="top" wrapText="1"/>
    </xf>
    <xf numFmtId="0" fontId="123" fillId="0" borderId="0" xfId="0" applyFont="1" applyFill="1" applyAlignment="1">
      <alignment wrapText="1"/>
    </xf>
    <xf numFmtId="0" fontId="0" fillId="0" borderId="3" xfId="0" applyBorder="1"/>
    <xf numFmtId="0" fontId="0" fillId="0" borderId="3" xfId="0" applyBorder="1" applyAlignment="1">
      <alignment horizontal="left" wrapText="1"/>
    </xf>
    <xf numFmtId="0" fontId="0" fillId="0" borderId="3" xfId="0" applyFill="1" applyBorder="1"/>
    <xf numFmtId="0" fontId="117" fillId="0" borderId="0" xfId="0" applyFont="1" applyAlignment="1">
      <alignment wrapText="1"/>
    </xf>
    <xf numFmtId="0" fontId="121" fillId="0" borderId="3" xfId="0" applyFont="1" applyBorder="1" applyAlignment="1">
      <alignment vertical="top" wrapText="1"/>
    </xf>
    <xf numFmtId="0" fontId="116" fillId="0" borderId="3" xfId="0" applyFont="1" applyBorder="1"/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center"/>
    </xf>
    <xf numFmtId="170" fontId="124" fillId="0" borderId="3" xfId="0" applyNumberFormat="1" applyFont="1" applyFill="1" applyBorder="1" applyAlignment="1">
      <alignment horizontal="center" vertical="center" wrapText="1"/>
    </xf>
    <xf numFmtId="170" fontId="114" fillId="0" borderId="3" xfId="0" applyNumberFormat="1" applyFont="1" applyFill="1" applyBorder="1" applyAlignment="1">
      <alignment horizontal="center" vertical="center" wrapText="1"/>
    </xf>
    <xf numFmtId="170" fontId="114" fillId="32" borderId="3" xfId="0" applyNumberFormat="1" applyFont="1" applyFill="1" applyBorder="1" applyAlignment="1">
      <alignment horizontal="center" vertical="center" wrapText="1"/>
    </xf>
    <xf numFmtId="170" fontId="125" fillId="29" borderId="3" xfId="0" applyNumberFormat="1" applyFont="1" applyFill="1" applyBorder="1" applyAlignment="1">
      <alignment horizontal="center" vertical="center" wrapText="1"/>
    </xf>
    <xf numFmtId="176" fontId="125" fillId="29" borderId="3" xfId="0" applyNumberFormat="1" applyFont="1" applyFill="1" applyBorder="1" applyAlignment="1">
      <alignment horizontal="center" vertical="center" wrapText="1"/>
    </xf>
    <xf numFmtId="0" fontId="126" fillId="33" borderId="0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justify"/>
    </xf>
    <xf numFmtId="167" fontId="9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/>
    <xf numFmtId="0" fontId="91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4" fillId="0" borderId="18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4" fillId="0" borderId="17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justify"/>
    </xf>
    <xf numFmtId="0" fontId="69" fillId="0" borderId="0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69" fillId="0" borderId="0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5" fillId="0" borderId="14" xfId="245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/>
    </xf>
    <xf numFmtId="0" fontId="5" fillId="0" borderId="15" xfId="245" applyFont="1" applyFill="1" applyBorder="1" applyAlignment="1">
      <alignment horizontal="center" vertical="center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2" fontId="5" fillId="0" borderId="14" xfId="245" applyNumberFormat="1" applyFont="1" applyFill="1" applyBorder="1" applyAlignment="1">
      <alignment horizontal="center" vertical="center"/>
    </xf>
    <xf numFmtId="2" fontId="5" fillId="0" borderId="16" xfId="245" applyNumberFormat="1" applyFont="1" applyFill="1" applyBorder="1" applyAlignment="1">
      <alignment horizontal="center" vertical="center"/>
    </xf>
    <xf numFmtId="2" fontId="5" fillId="0" borderId="15" xfId="245" applyNumberFormat="1" applyFont="1" applyFill="1" applyBorder="1" applyAlignment="1">
      <alignment horizontal="center" vertical="center"/>
    </xf>
    <xf numFmtId="0" fontId="6" fillId="0" borderId="3" xfId="245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justify" wrapText="1"/>
    </xf>
    <xf numFmtId="0" fontId="5" fillId="0" borderId="0" xfId="0" applyFont="1" applyFill="1" applyBorder="1" applyAlignment="1">
      <alignment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70" fillId="0" borderId="13" xfId="237" applyNumberFormat="1" applyFont="1" applyFill="1" applyBorder="1" applyAlignment="1">
      <alignment horizontal="center" vertical="center" wrapText="1"/>
    </xf>
    <xf numFmtId="0" fontId="70" fillId="0" borderId="20" xfId="237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left" vertical="justify" wrapText="1"/>
    </xf>
    <xf numFmtId="0" fontId="5" fillId="0" borderId="0" xfId="0" applyFont="1" applyFill="1" applyBorder="1" applyAlignment="1"/>
    <xf numFmtId="0" fontId="4" fillId="0" borderId="18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70" fillId="0" borderId="0" xfId="0" applyFont="1" applyFill="1" applyBorder="1" applyAlignment="1">
      <alignment horizontal="center" vertical="justify"/>
    </xf>
    <xf numFmtId="175" fontId="5" fillId="0" borderId="3" xfId="0" applyNumberFormat="1" applyFont="1" applyFill="1" applyBorder="1" applyAlignment="1">
      <alignment horizontal="center" vertical="center" wrapText="1"/>
    </xf>
    <xf numFmtId="175" fontId="5" fillId="29" borderId="3" xfId="0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175" fontId="5" fillId="0" borderId="13" xfId="0" applyNumberFormat="1" applyFont="1" applyFill="1" applyBorder="1" applyAlignment="1">
      <alignment horizontal="center" vertical="center" wrapText="1"/>
    </xf>
    <xf numFmtId="2" fontId="5" fillId="29" borderId="12" xfId="292" applyNumberFormat="1" applyFont="1" applyFill="1" applyBorder="1" applyAlignment="1">
      <alignment horizontal="center" vertical="center" wrapText="1"/>
    </xf>
    <xf numFmtId="175" fontId="5" fillId="29" borderId="30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175" fontId="5" fillId="0" borderId="30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175" fontId="5" fillId="29" borderId="13" xfId="0" applyNumberFormat="1" applyFont="1" applyFill="1" applyBorder="1" applyAlignment="1">
      <alignment horizontal="center" vertical="center" wrapText="1"/>
    </xf>
    <xf numFmtId="2" fontId="5" fillId="29" borderId="13" xfId="292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175" fontId="5" fillId="0" borderId="14" xfId="0" applyNumberFormat="1" applyFont="1" applyFill="1" applyBorder="1" applyAlignment="1">
      <alignment horizontal="center" vertical="center" wrapText="1"/>
    </xf>
    <xf numFmtId="175" fontId="5" fillId="0" borderId="15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175" fontId="5" fillId="29" borderId="14" xfId="0" applyNumberFormat="1" applyFont="1" applyFill="1" applyBorder="1" applyAlignment="1">
      <alignment horizontal="center" vertical="center" wrapText="1"/>
    </xf>
    <xf numFmtId="175" fontId="5" fillId="29" borderId="15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left" vertical="center" wrapText="1"/>
    </xf>
    <xf numFmtId="167" fontId="5" fillId="0" borderId="3" xfId="0" applyNumberFormat="1" applyFont="1" applyFill="1" applyBorder="1" applyAlignment="1">
      <alignment horizontal="center" vertical="center" wrapText="1"/>
    </xf>
    <xf numFmtId="175" fontId="5" fillId="0" borderId="20" xfId="0" applyNumberFormat="1" applyFont="1" applyFill="1" applyBorder="1" applyAlignment="1">
      <alignment horizontal="center" vertical="center" wrapText="1"/>
    </xf>
    <xf numFmtId="175" fontId="5" fillId="0" borderId="29" xfId="0" applyNumberFormat="1" applyFont="1" applyFill="1" applyBorder="1" applyAlignment="1">
      <alignment horizontal="center" vertical="center" wrapText="1"/>
    </xf>
    <xf numFmtId="175" fontId="5" fillId="0" borderId="27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70" fillId="0" borderId="16" xfId="0" applyFont="1" applyFill="1" applyBorder="1" applyAlignment="1">
      <alignment horizontal="center" vertical="center" wrapText="1"/>
    </xf>
    <xf numFmtId="167" fontId="5" fillId="0" borderId="14" xfId="0" applyNumberFormat="1" applyFont="1" applyFill="1" applyBorder="1" applyAlignment="1">
      <alignment horizontal="center" vertical="center" wrapText="1"/>
    </xf>
    <xf numFmtId="167" fontId="5" fillId="0" borderId="15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175" fontId="5" fillId="0" borderId="31" xfId="0" applyNumberFormat="1" applyFont="1" applyFill="1" applyBorder="1" applyAlignment="1">
      <alignment horizontal="center" vertical="center" wrapText="1"/>
    </xf>
    <xf numFmtId="2" fontId="5" fillId="29" borderId="30" xfId="292" applyNumberFormat="1" applyFont="1" applyFill="1" applyBorder="1" applyAlignment="1">
      <alignment horizontal="center" vertical="center" wrapText="1"/>
    </xf>
    <xf numFmtId="2" fontId="5" fillId="29" borderId="32" xfId="292" applyNumberFormat="1" applyFont="1" applyFill="1" applyBorder="1" applyAlignment="1">
      <alignment horizontal="center" vertical="center" wrapText="1"/>
    </xf>
    <xf numFmtId="2" fontId="5" fillId="29" borderId="20" xfId="292" applyNumberFormat="1" applyFont="1" applyFill="1" applyBorder="1" applyAlignment="1">
      <alignment horizontal="center" vertical="center" wrapText="1"/>
    </xf>
    <xf numFmtId="175" fontId="5" fillId="29" borderId="31" xfId="0" applyNumberFormat="1" applyFont="1" applyFill="1" applyBorder="1" applyAlignment="1">
      <alignment horizontal="center" vertical="center" wrapText="1"/>
    </xf>
    <xf numFmtId="175" fontId="5" fillId="29" borderId="20" xfId="0" applyNumberFormat="1" applyFont="1" applyFill="1" applyBorder="1" applyAlignment="1">
      <alignment horizontal="center" vertical="center" wrapText="1"/>
    </xf>
    <xf numFmtId="2" fontId="5" fillId="29" borderId="31" xfId="292" applyNumberFormat="1" applyFont="1" applyFill="1" applyBorder="1" applyAlignment="1">
      <alignment horizontal="center" vertical="center" wrapText="1"/>
    </xf>
    <xf numFmtId="2" fontId="5" fillId="29" borderId="34" xfId="292" applyNumberFormat="1" applyFont="1" applyFill="1" applyBorder="1" applyAlignment="1">
      <alignment horizontal="center" vertical="center" wrapText="1"/>
    </xf>
    <xf numFmtId="175" fontId="5" fillId="0" borderId="33" xfId="0" applyNumberFormat="1" applyFont="1" applyFill="1" applyBorder="1" applyAlignment="1">
      <alignment horizontal="center" vertical="center" wrapText="1"/>
    </xf>
    <xf numFmtId="175" fontId="5" fillId="0" borderId="35" xfId="0" applyNumberFormat="1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175" fontId="9" fillId="0" borderId="14" xfId="0" applyNumberFormat="1" applyFont="1" applyFill="1" applyBorder="1" applyAlignment="1">
      <alignment horizontal="center" vertical="center" wrapText="1"/>
    </xf>
    <xf numFmtId="175" fontId="9" fillId="0" borderId="16" xfId="0" applyNumberFormat="1" applyFont="1" applyFill="1" applyBorder="1" applyAlignment="1">
      <alignment horizontal="center" vertical="center" wrapText="1"/>
    </xf>
    <xf numFmtId="175" fontId="9" fillId="0" borderId="15" xfId="0" applyNumberFormat="1" applyFont="1" applyFill="1" applyBorder="1" applyAlignment="1">
      <alignment horizontal="center" vertical="center" wrapText="1"/>
    </xf>
    <xf numFmtId="167" fontId="9" fillId="29" borderId="14" xfId="0" applyNumberFormat="1" applyFont="1" applyFill="1" applyBorder="1" applyAlignment="1">
      <alignment horizontal="center" vertical="center" wrapText="1"/>
    </xf>
    <xf numFmtId="167" fontId="9" fillId="29" borderId="15" xfId="0" applyNumberFormat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right" vertical="center"/>
    </xf>
    <xf numFmtId="175" fontId="9" fillId="29" borderId="14" xfId="0" applyNumberFormat="1" applyFont="1" applyFill="1" applyBorder="1" applyAlignment="1">
      <alignment horizontal="center" vertical="center" wrapText="1"/>
    </xf>
    <xf numFmtId="175" fontId="9" fillId="29" borderId="15" xfId="0" applyNumberFormat="1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right" vertical="center"/>
    </xf>
    <xf numFmtId="0" fontId="9" fillId="0" borderId="3" xfId="0" applyFont="1" applyFill="1" applyBorder="1" applyAlignment="1">
      <alignment horizontal="center" vertical="center"/>
    </xf>
    <xf numFmtId="175" fontId="9" fillId="29" borderId="16" xfId="0" applyNumberFormat="1" applyFont="1" applyFill="1" applyBorder="1" applyAlignment="1">
      <alignment horizontal="center" vertical="center" wrapText="1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0" fontId="69" fillId="0" borderId="3" xfId="0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167" fontId="9" fillId="0" borderId="14" xfId="0" applyNumberFormat="1" applyFont="1" applyFill="1" applyBorder="1" applyAlignment="1">
      <alignment horizontal="center" vertical="center" wrapText="1"/>
    </xf>
    <xf numFmtId="167" fontId="9" fillId="0" borderId="15" xfId="0" applyNumberFormat="1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36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37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0" fontId="9" fillId="0" borderId="17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87" fillId="0" borderId="3" xfId="0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87" fillId="0" borderId="14" xfId="0" applyFont="1" applyFill="1" applyBorder="1" applyAlignment="1">
      <alignment horizontal="center" vertical="center" wrapText="1" shrinkToFit="1"/>
    </xf>
    <xf numFmtId="0" fontId="87" fillId="0" borderId="15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7" fillId="0" borderId="14" xfId="0" applyFont="1" applyFill="1" applyBorder="1" applyAlignment="1">
      <alignment horizontal="center" vertical="center" wrapText="1"/>
    </xf>
    <xf numFmtId="0" fontId="87" fillId="0" borderId="16" xfId="0" applyFont="1" applyFill="1" applyBorder="1" applyAlignment="1">
      <alignment horizontal="center" vertical="center" wrapText="1"/>
    </xf>
    <xf numFmtId="0" fontId="87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2" fontId="9" fillId="0" borderId="28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9" xfId="0" applyNumberFormat="1" applyFont="1" applyFill="1" applyBorder="1" applyAlignment="1">
      <alignment horizontal="center" vertical="center" wrapText="1"/>
    </xf>
    <xf numFmtId="2" fontId="9" fillId="0" borderId="27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174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38" xfId="0" applyFont="1" applyFill="1" applyBorder="1" applyAlignment="1">
      <alignment horizontal="center" vertical="center" wrapText="1" shrinkToFit="1"/>
    </xf>
    <xf numFmtId="0" fontId="9" fillId="0" borderId="20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3" fontId="9" fillId="0" borderId="3" xfId="0" applyNumberFormat="1" applyFont="1" applyFill="1" applyBorder="1" applyAlignment="1">
      <alignment horizontal="center" vertical="center" wrapText="1" shrinkToFit="1"/>
    </xf>
    <xf numFmtId="175" fontId="9" fillId="0" borderId="3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38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175" fontId="9" fillId="29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49" fontId="74" fillId="0" borderId="3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/>
    </xf>
    <xf numFmtId="0" fontId="11" fillId="0" borderId="0" xfId="0" applyFont="1" applyFill="1" applyAlignment="1">
      <alignment horizontal="left" vertical="top"/>
    </xf>
    <xf numFmtId="49" fontId="11" fillId="0" borderId="0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36" xfId="0" applyFont="1" applyFill="1" applyBorder="1" applyAlignment="1">
      <alignment horizontal="center" vertical="center" wrapText="1" shrinkToFit="1"/>
    </xf>
    <xf numFmtId="0" fontId="5" fillId="0" borderId="37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7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0" fontId="76" fillId="0" borderId="18" xfId="0" applyFont="1" applyFill="1" applyBorder="1" applyAlignment="1">
      <alignment horizontal="left"/>
    </xf>
    <xf numFmtId="0" fontId="77" fillId="0" borderId="0" xfId="285" applyFont="1" applyFill="1" applyBorder="1" applyAlignment="1">
      <alignment horizontal="left" vertical="center" wrapText="1"/>
    </xf>
    <xf numFmtId="0" fontId="78" fillId="0" borderId="0" xfId="0" applyFont="1" applyFill="1" applyAlignment="1">
      <alignment horizontal="center" vertical="center" wrapText="1"/>
    </xf>
    <xf numFmtId="0" fontId="79" fillId="0" borderId="13" xfId="0" applyFont="1" applyFill="1" applyBorder="1" applyAlignment="1">
      <alignment horizontal="center" vertical="center" wrapText="1"/>
    </xf>
    <xf numFmtId="0" fontId="79" fillId="0" borderId="20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center" wrapText="1"/>
    </xf>
    <xf numFmtId="0" fontId="70" fillId="0" borderId="0" xfId="285" applyFont="1" applyAlignment="1" applyProtection="1">
      <alignment horizontal="left"/>
      <protection locked="0"/>
    </xf>
    <xf numFmtId="0" fontId="70" fillId="0" borderId="0" xfId="285" applyFont="1" applyAlignment="1">
      <alignment horizontal="center" vertical="top"/>
    </xf>
    <xf numFmtId="0" fontId="11" fillId="0" borderId="3" xfId="285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11" fillId="0" borderId="13" xfId="285" applyFont="1" applyFill="1" applyBorder="1" applyAlignment="1">
      <alignment horizontal="center" vertical="center" wrapText="1"/>
    </xf>
    <xf numFmtId="0" fontId="11" fillId="0" borderId="38" xfId="285" applyFont="1" applyFill="1" applyBorder="1" applyAlignment="1">
      <alignment horizontal="center" vertical="center" wrapText="1"/>
    </xf>
    <xf numFmtId="0" fontId="11" fillId="0" borderId="16" xfId="285" applyFont="1" applyBorder="1" applyAlignment="1">
      <alignment horizontal="left"/>
    </xf>
    <xf numFmtId="0" fontId="11" fillId="0" borderId="3" xfId="285" applyFont="1" applyBorder="1" applyAlignment="1">
      <alignment horizontal="center" vertical="center" wrapText="1"/>
    </xf>
    <xf numFmtId="0" fontId="12" fillId="0" borderId="0" xfId="285" applyFont="1" applyFill="1" applyBorder="1" applyAlignment="1">
      <alignment horizontal="left" vertical="center" wrapText="1"/>
    </xf>
    <xf numFmtId="0" fontId="82" fillId="0" borderId="0" xfId="285" applyFont="1" applyFill="1" applyBorder="1" applyAlignment="1">
      <alignment horizontal="center"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1" fillId="0" borderId="0" xfId="285" applyFont="1" applyFill="1" applyBorder="1" applyAlignment="1">
      <alignment horizontal="left" wrapText="1"/>
    </xf>
    <xf numFmtId="0" fontId="11" fillId="0" borderId="17" xfId="285" applyFont="1" applyBorder="1" applyAlignment="1">
      <alignment horizontal="left"/>
    </xf>
    <xf numFmtId="0" fontId="12" fillId="0" borderId="0" xfId="285" applyFont="1" applyFill="1" applyBorder="1" applyAlignment="1">
      <alignment horizontal="center" vertical="center" wrapText="1"/>
    </xf>
    <xf numFmtId="0" fontId="77" fillId="0" borderId="0" xfId="285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center" vertical="center" wrapText="1"/>
    </xf>
    <xf numFmtId="0" fontId="71" fillId="0" borderId="17" xfId="0" applyFont="1" applyBorder="1" applyAlignment="1">
      <alignment horizontal="center"/>
    </xf>
    <xf numFmtId="0" fontId="94" fillId="0" borderId="0" xfId="0" applyFont="1" applyAlignment="1">
      <alignment horizontal="center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25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7.xml"/><Relationship Id="rId34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28.xml"/><Relationship Id="rId47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3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33" Type="http://schemas.openxmlformats.org/officeDocument/2006/relationships/externalLink" Target="externalLinks/externalLink19.xml"/><Relationship Id="rId38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3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externalLink" Target="externalLinks/externalLink6.xml"/><Relationship Id="rId29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27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18.xml"/><Relationship Id="rId37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26.xml"/><Relationship Id="rId45" Type="http://schemas.openxmlformats.org/officeDocument/2006/relationships/externalLink" Target="externalLinks/externalLink31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22.xml"/><Relationship Id="rId49" Type="http://schemas.openxmlformats.org/officeDocument/2006/relationships/externalLink" Target="externalLinks/externalLink3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31" Type="http://schemas.openxmlformats.org/officeDocument/2006/relationships/externalLink" Target="externalLinks/externalLink17.xml"/><Relationship Id="rId44" Type="http://schemas.openxmlformats.org/officeDocument/2006/relationships/externalLink" Target="externalLinks/externalLink30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16.xml"/><Relationship Id="rId35" Type="http://schemas.openxmlformats.org/officeDocument/2006/relationships/externalLink" Target="externalLinks/externalLink21.xml"/><Relationship Id="rId43" Type="http://schemas.openxmlformats.org/officeDocument/2006/relationships/externalLink" Target="externalLinks/externalLink29.xml"/><Relationship Id="rId48" Type="http://schemas.openxmlformats.org/officeDocument/2006/relationships/externalLink" Target="externalLinks/externalLink34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7"/>
  <sheetViews>
    <sheetView topLeftCell="A24" zoomScaleNormal="100" zoomScaleSheetLayoutView="75" workbookViewId="0">
      <selection activeCell="E14" sqref="E14:F16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460"/>
      <c r="B1" s="460"/>
      <c r="C1" s="2"/>
      <c r="D1" s="2"/>
      <c r="E1" s="2"/>
      <c r="F1" s="2"/>
      <c r="G1" s="2"/>
      <c r="H1" s="2"/>
    </row>
    <row r="2" spans="1:8" ht="30" customHeight="1">
      <c r="A2" s="461" t="s">
        <v>169</v>
      </c>
      <c r="B2" s="461"/>
      <c r="C2" s="461"/>
      <c r="D2" s="461"/>
      <c r="E2" s="461"/>
      <c r="F2" s="461"/>
      <c r="G2" s="461"/>
      <c r="H2" s="461"/>
    </row>
    <row r="3" spans="1:8" ht="24.75" customHeight="1">
      <c r="A3" s="461" t="s">
        <v>170</v>
      </c>
      <c r="B3" s="461"/>
      <c r="C3" s="461"/>
      <c r="D3" s="461"/>
      <c r="E3" s="461"/>
      <c r="F3" s="461"/>
      <c r="G3" s="461"/>
      <c r="H3" s="461"/>
    </row>
    <row r="4" spans="1:8" ht="18.75">
      <c r="A4" s="461" t="s">
        <v>875</v>
      </c>
      <c r="B4" s="461"/>
      <c r="C4" s="461"/>
      <c r="D4" s="461"/>
      <c r="E4" s="461"/>
      <c r="F4" s="461"/>
      <c r="G4" s="461"/>
      <c r="H4" s="461"/>
    </row>
    <row r="5" spans="1:8" ht="15">
      <c r="A5" s="462" t="s">
        <v>289</v>
      </c>
      <c r="B5" s="462"/>
      <c r="C5" s="462"/>
      <c r="D5" s="462"/>
      <c r="E5" s="462"/>
      <c r="F5" s="462"/>
      <c r="G5" s="462"/>
      <c r="H5" s="462"/>
    </row>
    <row r="6" spans="1:8" ht="10.5" customHeight="1">
      <c r="A6" s="11"/>
      <c r="B6" s="11"/>
      <c r="C6" s="11"/>
      <c r="D6" s="11"/>
      <c r="E6" s="11"/>
      <c r="F6" s="11"/>
      <c r="G6" s="11"/>
      <c r="H6" s="11"/>
    </row>
    <row r="7" spans="1:8" ht="18.75">
      <c r="A7" s="461" t="s">
        <v>147</v>
      </c>
      <c r="B7" s="461"/>
      <c r="C7" s="461"/>
      <c r="D7" s="461"/>
      <c r="E7" s="461"/>
      <c r="F7" s="461"/>
      <c r="G7" s="461"/>
      <c r="H7" s="461"/>
    </row>
    <row r="8" spans="1:8" ht="10.5" customHeight="1">
      <c r="A8" s="2"/>
      <c r="B8" s="22"/>
      <c r="C8" s="22"/>
      <c r="D8" s="22"/>
      <c r="E8" s="22"/>
      <c r="F8" s="22"/>
      <c r="G8" s="22"/>
      <c r="H8" s="22"/>
    </row>
    <row r="9" spans="1:8" ht="57.75" customHeight="1">
      <c r="A9" s="463" t="s">
        <v>202</v>
      </c>
      <c r="B9" s="464" t="s">
        <v>12</v>
      </c>
      <c r="C9" s="466" t="s">
        <v>474</v>
      </c>
      <c r="D9" s="466"/>
      <c r="E9" s="465" t="s">
        <v>477</v>
      </c>
      <c r="F9" s="465"/>
      <c r="G9" s="465"/>
      <c r="H9" s="465"/>
    </row>
    <row r="10" spans="1:8" ht="75" customHeight="1">
      <c r="A10" s="463"/>
      <c r="B10" s="464"/>
      <c r="C10" s="259" t="s">
        <v>475</v>
      </c>
      <c r="D10" s="6" t="s">
        <v>476</v>
      </c>
      <c r="E10" s="47" t="s">
        <v>186</v>
      </c>
      <c r="F10" s="47" t="s">
        <v>176</v>
      </c>
      <c r="G10" s="47" t="s">
        <v>197</v>
      </c>
      <c r="H10" s="47" t="s">
        <v>198</v>
      </c>
    </row>
    <row r="11" spans="1:8" ht="14.25" customHeight="1">
      <c r="A11" s="90">
        <v>1</v>
      </c>
      <c r="B11" s="88">
        <v>2</v>
      </c>
      <c r="C11" s="90">
        <v>3</v>
      </c>
      <c r="D11" s="90">
        <v>4</v>
      </c>
      <c r="E11" s="90">
        <v>5</v>
      </c>
      <c r="F11" s="88">
        <v>6</v>
      </c>
      <c r="G11" s="90">
        <v>7</v>
      </c>
      <c r="H11" s="88">
        <v>8</v>
      </c>
    </row>
    <row r="12" spans="1:8" ht="34.5" customHeight="1">
      <c r="A12" s="454" t="s">
        <v>81</v>
      </c>
      <c r="B12" s="454"/>
      <c r="C12" s="454"/>
      <c r="D12" s="454"/>
      <c r="E12" s="454"/>
      <c r="F12" s="454"/>
      <c r="G12" s="454"/>
      <c r="H12" s="454"/>
    </row>
    <row r="13" spans="1:8" ht="46.5" customHeight="1">
      <c r="A13" s="59" t="s">
        <v>148</v>
      </c>
      <c r="B13" s="88">
        <f>'1. Фін результат'!B7</f>
        <v>1000</v>
      </c>
      <c r="C13" s="84">
        <f>'1. Фін результат'!C7</f>
        <v>48765</v>
      </c>
      <c r="D13" s="84">
        <f>'1. Фін результат'!D7</f>
        <v>48254</v>
      </c>
      <c r="E13" s="84">
        <f>'1. Фін результат'!E7</f>
        <v>11455</v>
      </c>
      <c r="F13" s="84">
        <f>'1. Фін результат'!F7</f>
        <v>12048</v>
      </c>
      <c r="G13" s="84">
        <f>F13-E13</f>
        <v>593</v>
      </c>
      <c r="H13" s="85">
        <f>-F13/E13*100</f>
        <v>-105.17677869925797</v>
      </c>
    </row>
    <row r="14" spans="1:8" ht="40.5" customHeight="1">
      <c r="A14" s="59" t="s">
        <v>128</v>
      </c>
      <c r="B14" s="88">
        <f>'1. Фін результат'!B8</f>
        <v>1010</v>
      </c>
      <c r="C14" s="84">
        <f>'1. Фін результат'!C8</f>
        <v>-37135</v>
      </c>
      <c r="D14" s="84">
        <f>'1. Фін результат'!D8</f>
        <v>-40652</v>
      </c>
      <c r="E14" s="84">
        <f>'1. Фін результат'!E8</f>
        <v>-9788</v>
      </c>
      <c r="F14" s="84">
        <f>'1. Фін результат'!F8</f>
        <v>-10664</v>
      </c>
      <c r="G14" s="84">
        <f t="shared" ref="G14:G25" si="0">F14-E14</f>
        <v>-876</v>
      </c>
      <c r="H14" s="85">
        <f t="shared" ref="H14:H25" si="1">-F14/E14*100</f>
        <v>-108.94973436861464</v>
      </c>
    </row>
    <row r="15" spans="1:8" ht="32.25" customHeight="1">
      <c r="A15" s="60" t="s">
        <v>187</v>
      </c>
      <c r="B15" s="88">
        <f>'1. Фін результат'!B17</f>
        <v>1020</v>
      </c>
      <c r="C15" s="203">
        <f>'1. Фін результат'!C17</f>
        <v>11630</v>
      </c>
      <c r="D15" s="203">
        <f>'1. Фін результат'!D17</f>
        <v>7602</v>
      </c>
      <c r="E15" s="203">
        <f>'1. Фін результат'!E17</f>
        <v>1667</v>
      </c>
      <c r="F15" s="203">
        <f>'1. Фін результат'!F17</f>
        <v>1384</v>
      </c>
      <c r="G15" s="203">
        <f t="shared" si="0"/>
        <v>-283</v>
      </c>
      <c r="H15" s="85">
        <f t="shared" si="1"/>
        <v>-83.023395320935805</v>
      </c>
    </row>
    <row r="16" spans="1:8" ht="27.75" customHeight="1">
      <c r="A16" s="59" t="s">
        <v>105</v>
      </c>
      <c r="B16" s="88">
        <f>'1. Фін результат'!B21</f>
        <v>1040</v>
      </c>
      <c r="C16" s="84">
        <f>'1. Фін результат'!C21</f>
        <v>-6195</v>
      </c>
      <c r="D16" s="84">
        <f>'1. Фін результат'!D21</f>
        <v>-6349</v>
      </c>
      <c r="E16" s="84">
        <f>'1. Фін результат'!E21</f>
        <v>-1612</v>
      </c>
      <c r="F16" s="84">
        <f>'1. Фін результат'!F21</f>
        <v>-1680</v>
      </c>
      <c r="G16" s="84">
        <f t="shared" si="0"/>
        <v>-68</v>
      </c>
      <c r="H16" s="85">
        <f t="shared" si="1"/>
        <v>-104.21836228287842</v>
      </c>
    </row>
    <row r="17" spans="1:8" ht="25.5" customHeight="1">
      <c r="A17" s="59" t="s">
        <v>102</v>
      </c>
      <c r="B17" s="88">
        <f>'1. Фін результат'!B44</f>
        <v>1070</v>
      </c>
      <c r="C17" s="84">
        <f>'1. Фін результат'!C44</f>
        <v>0</v>
      </c>
      <c r="D17" s="84">
        <f>'1. Фін результат'!D44</f>
        <v>0</v>
      </c>
      <c r="E17" s="84">
        <f>'1. Фін результат'!E44</f>
        <v>0</v>
      </c>
      <c r="F17" s="84">
        <f>'1. Фін результат'!F44</f>
        <v>0</v>
      </c>
      <c r="G17" s="84">
        <f t="shared" si="0"/>
        <v>0</v>
      </c>
      <c r="H17" s="85" t="e">
        <f t="shared" si="1"/>
        <v>#DIV/0!</v>
      </c>
    </row>
    <row r="18" spans="1:8" ht="26.25" customHeight="1">
      <c r="A18" s="59" t="s">
        <v>106</v>
      </c>
      <c r="B18" s="88">
        <f>'1. Фін результат'!B75</f>
        <v>1300</v>
      </c>
      <c r="C18" s="84">
        <f>'1. Фін результат'!C75</f>
        <v>-3084</v>
      </c>
      <c r="D18" s="84">
        <f>'1. Фін результат'!D75</f>
        <v>-430</v>
      </c>
      <c r="E18" s="84">
        <f>'1. Фін результат'!E75</f>
        <v>-5</v>
      </c>
      <c r="F18" s="84">
        <f>'1. Фін результат'!F75</f>
        <v>74</v>
      </c>
      <c r="G18" s="84">
        <f t="shared" si="0"/>
        <v>79</v>
      </c>
      <c r="H18" s="85">
        <f t="shared" si="1"/>
        <v>1480</v>
      </c>
    </row>
    <row r="19" spans="1:8" ht="47.25" customHeight="1">
      <c r="A19" s="9" t="s">
        <v>2</v>
      </c>
      <c r="B19" s="88">
        <f>'1. Фін результат'!B58</f>
        <v>1100</v>
      </c>
      <c r="C19" s="203">
        <f>'1. Фін результат'!C58</f>
        <v>2351</v>
      </c>
      <c r="D19" s="203">
        <f>'1. Фін результат'!D58</f>
        <v>823</v>
      </c>
      <c r="E19" s="203">
        <f>'1. Фін результат'!E58</f>
        <v>50</v>
      </c>
      <c r="F19" s="203">
        <f>'1. Фін результат'!F58</f>
        <v>-222</v>
      </c>
      <c r="G19" s="203">
        <f t="shared" si="0"/>
        <v>-272</v>
      </c>
      <c r="H19" s="85">
        <f t="shared" si="1"/>
        <v>444.00000000000006</v>
      </c>
    </row>
    <row r="20" spans="1:8" ht="43.5" customHeight="1">
      <c r="A20" s="62" t="s">
        <v>107</v>
      </c>
      <c r="B20" s="88">
        <f>'1. Фін результат'!B76</f>
        <v>1310</v>
      </c>
      <c r="C20" s="84">
        <f>'1. Фін результат'!C76</f>
        <v>0</v>
      </c>
      <c r="D20" s="84">
        <f>'1. Фін результат'!D76</f>
        <v>0</v>
      </c>
      <c r="E20" s="84">
        <f>'1. Фін результат'!E76</f>
        <v>0</v>
      </c>
      <c r="F20" s="84">
        <f>'1. Фін результат'!F76</f>
        <v>0</v>
      </c>
      <c r="G20" s="84">
        <f t="shared" si="0"/>
        <v>0</v>
      </c>
      <c r="H20" s="85" t="e">
        <f t="shared" si="1"/>
        <v>#DIV/0!</v>
      </c>
    </row>
    <row r="21" spans="1:8" ht="30.75" customHeight="1">
      <c r="A21" s="59" t="s">
        <v>165</v>
      </c>
      <c r="B21" s="88">
        <f>'1. Фін результат'!B77</f>
        <v>1320</v>
      </c>
      <c r="C21" s="84">
        <f>'1. Фін результат'!C77</f>
        <v>0</v>
      </c>
      <c r="D21" s="84">
        <f>'1. Фін результат'!D77</f>
        <v>0</v>
      </c>
      <c r="E21" s="84">
        <f>'1. Фін результат'!E77</f>
        <v>0</v>
      </c>
      <c r="F21" s="84">
        <f>'1. Фін результат'!F77</f>
        <v>0</v>
      </c>
      <c r="G21" s="84">
        <f t="shared" si="0"/>
        <v>0</v>
      </c>
      <c r="H21" s="85" t="e">
        <f t="shared" si="1"/>
        <v>#DIV/0!</v>
      </c>
    </row>
    <row r="22" spans="1:8" ht="29.25" customHeight="1">
      <c r="A22" s="61" t="s">
        <v>80</v>
      </c>
      <c r="B22" s="88">
        <f>'1. Фін результат'!B67</f>
        <v>1170</v>
      </c>
      <c r="C22" s="203">
        <f>'1. Фін результат'!C67</f>
        <v>2351</v>
      </c>
      <c r="D22" s="203">
        <f>'1. Фін результат'!D67</f>
        <v>823</v>
      </c>
      <c r="E22" s="203">
        <f>'1. Фін результат'!E67</f>
        <v>50</v>
      </c>
      <c r="F22" s="203">
        <f>'1. Фін результат'!F67</f>
        <v>-222</v>
      </c>
      <c r="G22" s="203">
        <f t="shared" si="0"/>
        <v>-272</v>
      </c>
      <c r="H22" s="85">
        <f t="shared" si="1"/>
        <v>444.00000000000006</v>
      </c>
    </row>
    <row r="23" spans="1:8" ht="31.5" customHeight="1">
      <c r="A23" s="7" t="s">
        <v>103</v>
      </c>
      <c r="B23" s="88">
        <f>'1. Фін результат'!B68</f>
        <v>1180</v>
      </c>
      <c r="C23" s="84">
        <f>'1. Фін результат'!C68</f>
        <v>-820</v>
      </c>
      <c r="D23" s="84">
        <f>'1. Фін результат'!D68</f>
        <v>-286</v>
      </c>
      <c r="E23" s="84">
        <f>'1. Фін результат'!E68</f>
        <v>-9</v>
      </c>
      <c r="F23" s="84">
        <f>'1. Фін результат'!F68</f>
        <v>23</v>
      </c>
      <c r="G23" s="84">
        <f t="shared" si="0"/>
        <v>32</v>
      </c>
      <c r="H23" s="85">
        <f t="shared" si="1"/>
        <v>255.55555555555554</v>
      </c>
    </row>
    <row r="24" spans="1:8" ht="30.75" customHeight="1">
      <c r="A24" s="9" t="s">
        <v>162</v>
      </c>
      <c r="B24" s="88">
        <f>'1. Фін результат'!B70</f>
        <v>1200</v>
      </c>
      <c r="C24" s="203">
        <f>'1. Фін результат'!C70</f>
        <v>1531</v>
      </c>
      <c r="D24" s="203">
        <f>'1. Фін результат'!D70</f>
        <v>537</v>
      </c>
      <c r="E24" s="203">
        <f>'1. Фін результат'!E70</f>
        <v>41</v>
      </c>
      <c r="F24" s="203">
        <f>'1. Фін результат'!F70</f>
        <v>-199</v>
      </c>
      <c r="G24" s="203">
        <f t="shared" si="0"/>
        <v>-240</v>
      </c>
      <c r="H24" s="85">
        <f t="shared" si="1"/>
        <v>485.36585365853659</v>
      </c>
    </row>
    <row r="25" spans="1:8" ht="30.75" customHeight="1">
      <c r="A25" s="62" t="s">
        <v>163</v>
      </c>
      <c r="B25" s="88">
        <v>5010</v>
      </c>
      <c r="C25" s="84">
        <f>' V. Коефіцієнти'!D8</f>
        <v>3.1395468061109405E-2</v>
      </c>
      <c r="D25" s="84">
        <f>' V. Коефіцієнти'!E8</f>
        <v>1.112861109959796E-2</v>
      </c>
      <c r="E25" s="84">
        <f>' V. Коефіцієнти'!G8</f>
        <v>-1.6517264276228419E-2</v>
      </c>
      <c r="F25" s="84">
        <f>' V. Коефіцієнти'!H8</f>
        <v>-2.0096487322932916E-2</v>
      </c>
      <c r="G25" s="84">
        <f t="shared" si="0"/>
        <v>-3.5792230467044973E-3</v>
      </c>
      <c r="H25" s="85">
        <f t="shared" si="1"/>
        <v>-121.66958757120392</v>
      </c>
    </row>
    <row r="26" spans="1:8" ht="0.75" hidden="1" customHeight="1">
      <c r="A26" s="74"/>
      <c r="B26" s="75"/>
      <c r="C26" s="76"/>
      <c r="D26" s="76"/>
      <c r="E26" s="76"/>
      <c r="F26" s="455" t="s">
        <v>171</v>
      </c>
      <c r="G26" s="455"/>
      <c r="H26" s="456"/>
    </row>
    <row r="27" spans="1:8" ht="30" customHeight="1">
      <c r="A27" s="457" t="s">
        <v>116</v>
      </c>
      <c r="B27" s="458"/>
      <c r="C27" s="458"/>
      <c r="D27" s="458"/>
      <c r="E27" s="458"/>
      <c r="F27" s="458"/>
      <c r="G27" s="458"/>
      <c r="H27" s="459"/>
    </row>
    <row r="28" spans="1:8" ht="39.75" customHeight="1">
      <c r="A28" s="62" t="s">
        <v>188</v>
      </c>
      <c r="B28" s="88">
        <f>'ІІ. Розр. з бюджетом'!B16</f>
        <v>2100</v>
      </c>
      <c r="C28" s="84">
        <f>'ІІ. Розр. з бюджетом'!C16</f>
        <v>235</v>
      </c>
      <c r="D28" s="84">
        <f>'ІІ. Розр. з бюджетом'!D16</f>
        <v>114</v>
      </c>
      <c r="E28" s="84">
        <f>'ІІ. Розр. з бюджетом'!E16</f>
        <v>6</v>
      </c>
      <c r="F28" s="84">
        <f>'ІІ. Розр. з бюджетом'!F16</f>
        <v>5</v>
      </c>
      <c r="G28" s="84">
        <f t="shared" ref="G28:G33" si="2">F28-E28</f>
        <v>-1</v>
      </c>
      <c r="H28" s="85">
        <f t="shared" ref="H28:H33" si="3">F28/E28*100</f>
        <v>83.333333333333343</v>
      </c>
    </row>
    <row r="29" spans="1:8" ht="31.5" customHeight="1">
      <c r="A29" s="36" t="s">
        <v>115</v>
      </c>
      <c r="B29" s="88">
        <f>'ІІ. Розр. з бюджетом'!B17</f>
        <v>2110</v>
      </c>
      <c r="C29" s="84">
        <f>'ІІ. Розр. з бюджетом'!C17</f>
        <v>820</v>
      </c>
      <c r="D29" s="84">
        <f>'ІІ. Розр. з бюджетом'!D17</f>
        <v>286</v>
      </c>
      <c r="E29" s="84">
        <f>'ІІ. Розр. з бюджетом'!E17</f>
        <v>9</v>
      </c>
      <c r="F29" s="84">
        <f>'ІІ. Розр. з бюджетом'!F17</f>
        <v>-23</v>
      </c>
      <c r="G29" s="84">
        <f t="shared" si="2"/>
        <v>-32</v>
      </c>
      <c r="H29" s="85">
        <f t="shared" si="3"/>
        <v>-255.55555555555554</v>
      </c>
    </row>
    <row r="30" spans="1:8" ht="46.5" customHeight="1">
      <c r="A30" s="36" t="s">
        <v>268</v>
      </c>
      <c r="B30" s="88" t="s">
        <v>227</v>
      </c>
      <c r="C30" s="84">
        <f>SUM('ІІ. Розр. з бюджетом'!C18,'ІІ. Розр. з бюджетом'!C19)</f>
        <v>6109</v>
      </c>
      <c r="D30" s="84">
        <f>SUM('ІІ. Розр. з бюджетом'!D18,'ІІ. Розр. з бюджетом'!D19)</f>
        <v>6662</v>
      </c>
      <c r="E30" s="84">
        <f>SUM('ІІ. Розр. з бюджетом'!E18,'ІІ. Розр. з бюджетом'!E19)</f>
        <v>1400</v>
      </c>
      <c r="F30" s="84">
        <f>SUM('ІІ. Розр. з бюджетом'!F18,'ІІ. Розр. з бюджетом'!F19)</f>
        <v>1681</v>
      </c>
      <c r="G30" s="84">
        <f t="shared" si="2"/>
        <v>281</v>
      </c>
      <c r="H30" s="85">
        <f t="shared" si="3"/>
        <v>120.07142857142856</v>
      </c>
    </row>
    <row r="31" spans="1:8" ht="53.25" customHeight="1">
      <c r="A31" s="62" t="s">
        <v>257</v>
      </c>
      <c r="B31" s="88">
        <f>'ІІ. Розр. з бюджетом'!B20</f>
        <v>2140</v>
      </c>
      <c r="C31" s="84">
        <f>'ІІ. Розр. з бюджетом'!C20</f>
        <v>2962</v>
      </c>
      <c r="D31" s="84">
        <f>'ІІ. Розр. з бюджетом'!D20</f>
        <v>4915</v>
      </c>
      <c r="E31" s="84">
        <f>'ІІ. Розр. з бюджетом'!E20</f>
        <v>1174</v>
      </c>
      <c r="F31" s="84">
        <f>'ІІ. Розр. з бюджетом'!F20</f>
        <v>1325</v>
      </c>
      <c r="G31" s="84">
        <f t="shared" si="2"/>
        <v>151</v>
      </c>
      <c r="H31" s="85">
        <f t="shared" si="3"/>
        <v>112.86201022146507</v>
      </c>
    </row>
    <row r="32" spans="1:8" ht="39" customHeight="1">
      <c r="A32" s="62" t="s">
        <v>72</v>
      </c>
      <c r="B32" s="88">
        <f>'ІІ. Розр. з бюджетом'!B30</f>
        <v>2150</v>
      </c>
      <c r="C32" s="84">
        <f>'ІІ. Розр. з бюджетом'!C30</f>
        <v>4814</v>
      </c>
      <c r="D32" s="84">
        <f>'ІІ. Розр. з бюджетом'!D30</f>
        <v>5542</v>
      </c>
      <c r="E32" s="84">
        <f>'ІІ. Розр. з бюджетом'!E30</f>
        <v>1279</v>
      </c>
      <c r="F32" s="84">
        <f>'ІІ. Розр. з бюджетом'!F30</f>
        <v>1548</v>
      </c>
      <c r="G32" s="84">
        <f t="shared" si="2"/>
        <v>269</v>
      </c>
      <c r="H32" s="85">
        <f t="shared" si="3"/>
        <v>121.03205629397966</v>
      </c>
    </row>
    <row r="33" spans="1:8" ht="30" customHeight="1">
      <c r="A33" s="61" t="s">
        <v>189</v>
      </c>
      <c r="B33" s="88">
        <f>'ІІ. Розр. з бюджетом'!B31</f>
        <v>2200</v>
      </c>
      <c r="C33" s="203">
        <f>'ІІ. Розр. з бюджетом'!C31</f>
        <v>14940</v>
      </c>
      <c r="D33" s="203">
        <f>'ІІ. Розр. з бюджетом'!D31</f>
        <v>17519</v>
      </c>
      <c r="E33" s="203">
        <f>'ІІ. Розр. з бюджетом'!E31</f>
        <v>3868</v>
      </c>
      <c r="F33" s="203">
        <f>'ІІ. Розр. з бюджетом'!F31</f>
        <v>4536</v>
      </c>
      <c r="G33" s="203">
        <f t="shared" si="2"/>
        <v>668</v>
      </c>
      <c r="H33" s="85">
        <f t="shared" si="3"/>
        <v>117.2699069286453</v>
      </c>
    </row>
    <row r="34" spans="1:8" ht="33" customHeight="1">
      <c r="A34" s="457" t="s">
        <v>114</v>
      </c>
      <c r="B34" s="458"/>
      <c r="C34" s="458"/>
      <c r="D34" s="458"/>
      <c r="E34" s="458"/>
      <c r="F34" s="458"/>
      <c r="G34" s="458"/>
      <c r="H34" s="459"/>
    </row>
    <row r="35" spans="1:8" ht="33.75" customHeight="1">
      <c r="A35" s="7" t="s">
        <v>108</v>
      </c>
      <c r="B35" s="90">
        <v>3600</v>
      </c>
      <c r="C35" s="84">
        <f>'ІІІ. Рух грош. коштів'!C70</f>
        <v>336</v>
      </c>
      <c r="D35" s="84">
        <f>'ІІІ. Рух грош. коштів'!D70</f>
        <v>1938</v>
      </c>
      <c r="E35" s="84">
        <f>'ІІІ. Рух грош. коштів'!E70</f>
        <v>2127</v>
      </c>
      <c r="F35" s="84">
        <f>'ІІІ. Рух грош. коштів'!F70</f>
        <v>1036</v>
      </c>
      <c r="G35" s="84">
        <f>'[36]ІІІ. Рух грош. коштів'!F60</f>
        <v>0</v>
      </c>
      <c r="H35" s="85">
        <f>F35/E35*100</f>
        <v>48.707099200752232</v>
      </c>
    </row>
    <row r="36" spans="1:8" ht="27.75" customHeight="1">
      <c r="A36" s="7" t="s">
        <v>371</v>
      </c>
      <c r="B36" s="90">
        <v>3620</v>
      </c>
      <c r="C36" s="84">
        <f>'ІІІ. Рух грош. коштів'!C72</f>
        <v>1938</v>
      </c>
      <c r="D36" s="84">
        <f>'ІІІ. Рух грош. коштів'!D72</f>
        <v>1055</v>
      </c>
      <c r="E36" s="84">
        <f>'ІІІ. Рух грош. коштів'!E72</f>
        <v>1816</v>
      </c>
      <c r="F36" s="84">
        <f>'ІІІ. Рух грош. коштів'!F72</f>
        <v>1052</v>
      </c>
      <c r="G36" s="84">
        <f>'[36]ІІІ. Рух грош. коштів'!F62</f>
        <v>0</v>
      </c>
      <c r="H36" s="85">
        <f>F36/E36*100</f>
        <v>57.929515418502199</v>
      </c>
    </row>
    <row r="37" spans="1:8" ht="30.75" customHeight="1">
      <c r="A37" s="9" t="s">
        <v>28</v>
      </c>
      <c r="B37" s="90">
        <v>3630</v>
      </c>
      <c r="C37" s="203">
        <f>'ІІІ. Рух грош. коштів'!C73</f>
        <v>1602</v>
      </c>
      <c r="D37" s="203">
        <f>'ІІІ. Рух грош. коштів'!D73</f>
        <v>-883</v>
      </c>
      <c r="E37" s="203">
        <f>'ІІІ. Рух грош. коштів'!E73</f>
        <v>-311</v>
      </c>
      <c r="F37" s="203">
        <f>'ІІІ. Рух грош. коштів'!F73</f>
        <v>18</v>
      </c>
      <c r="G37" s="203">
        <f>'[36]ІІІ. Рух грош. коштів'!F63</f>
        <v>0</v>
      </c>
      <c r="H37" s="85">
        <f>F37/E37*100</f>
        <v>-5.787781350482315</v>
      </c>
    </row>
    <row r="38" spans="1:8" ht="33" customHeight="1">
      <c r="A38" s="469" t="s">
        <v>153</v>
      </c>
      <c r="B38" s="470"/>
      <c r="C38" s="470"/>
      <c r="D38" s="470"/>
      <c r="E38" s="470"/>
      <c r="F38" s="470"/>
      <c r="G38" s="470"/>
      <c r="H38" s="470"/>
    </row>
    <row r="39" spans="1:8" ht="27.75" customHeight="1">
      <c r="A39" s="62" t="s">
        <v>152</v>
      </c>
      <c r="B39" s="90">
        <f>'IV. Кап. інвестиції'!B8</f>
        <v>4000</v>
      </c>
      <c r="C39" s="84">
        <f>'IV. Кап. інвестиції'!C8</f>
        <v>164</v>
      </c>
      <c r="D39" s="84">
        <f>'IV. Кап. інвестиції'!D8</f>
        <v>178</v>
      </c>
      <c r="E39" s="84">
        <f>'IV. Кап. інвестиції'!E8</f>
        <v>50</v>
      </c>
      <c r="F39" s="84">
        <f>'IV. Кап. інвестиції'!F8</f>
        <v>16</v>
      </c>
      <c r="G39" s="84">
        <f>F39-E39</f>
        <v>-34</v>
      </c>
      <c r="H39" s="85">
        <f>F39/E39*100</f>
        <v>32</v>
      </c>
    </row>
    <row r="40" spans="1:8" ht="27" customHeight="1">
      <c r="A40" s="471" t="s">
        <v>156</v>
      </c>
      <c r="B40" s="471"/>
      <c r="C40" s="471"/>
      <c r="D40" s="471"/>
      <c r="E40" s="471"/>
      <c r="F40" s="471"/>
      <c r="G40" s="471"/>
      <c r="H40" s="471"/>
    </row>
    <row r="41" spans="1:8" ht="26.25" customHeight="1">
      <c r="A41" s="62" t="s">
        <v>126</v>
      </c>
      <c r="B41" s="90">
        <v>5000</v>
      </c>
      <c r="C41" s="322">
        <f>' V. Коефіцієнти'!D7</f>
        <v>3.4830126353051446E-3</v>
      </c>
      <c r="D41" s="322">
        <f>' V. Коефіцієнти'!E7</f>
        <v>1.0032695002335357E-2</v>
      </c>
      <c r="E41" s="322">
        <f>' V. Коефіцієнти'!F7</f>
        <v>9.2729550872336285E-5</v>
      </c>
      <c r="F41" s="322">
        <f>' V. Коефіцієнти'!G7</f>
        <v>-3.7178888369920598E-3</v>
      </c>
      <c r="G41" s="84">
        <f>F41-E41</f>
        <v>-3.810618387864396E-3</v>
      </c>
      <c r="H41" s="85">
        <f>F41/E41*100</f>
        <v>-4009.3894578553445</v>
      </c>
    </row>
    <row r="42" spans="1:8" ht="25.5" customHeight="1">
      <c r="A42" s="62" t="s">
        <v>164</v>
      </c>
      <c r="B42" s="90">
        <v>5100</v>
      </c>
      <c r="C42" s="322">
        <f>' V. Коефіцієнти'!D10</f>
        <v>135.21382088627209</v>
      </c>
      <c r="D42" s="322">
        <f>' V. Коефіцієнти'!E10</f>
        <v>15.195158850226928</v>
      </c>
      <c r="E42" s="322">
        <f>' V. Коефіцієнти'!F10</f>
        <v>126.23478260869565</v>
      </c>
      <c r="F42" s="322">
        <f>' V. Коефіцієнти'!G10</f>
        <v>15.195158850226928</v>
      </c>
      <c r="G42" s="84">
        <f>F42-E42</f>
        <v>-111.03962375846872</v>
      </c>
      <c r="H42" s="85">
        <f>F42/E42*100</f>
        <v>12.037220278129757</v>
      </c>
    </row>
    <row r="43" spans="1:8" ht="26.25" customHeight="1">
      <c r="A43" s="204" t="s">
        <v>370</v>
      </c>
      <c r="B43" s="151">
        <v>5120</v>
      </c>
      <c r="C43" s="322">
        <f>' V. Коефіцієнти'!D12</f>
        <v>-8.4481825089520929E-2</v>
      </c>
      <c r="D43" s="322">
        <f>' V. Коефіцієнти'!E12</f>
        <v>-0.75949556282111164</v>
      </c>
      <c r="E43" s="322">
        <f>' V. Коефіцієнти'!F12</f>
        <v>-2.2137483998498235E-2</v>
      </c>
      <c r="F43" s="322">
        <f>' V. Коефіцієнти'!G12</f>
        <v>-0.19923400280242878</v>
      </c>
      <c r="G43" s="84">
        <f>F43-E43</f>
        <v>-0.17709651880393054</v>
      </c>
      <c r="H43" s="85">
        <f>F43/E43*100</f>
        <v>899.98485291257339</v>
      </c>
    </row>
    <row r="44" spans="1:8" ht="31.5" customHeight="1">
      <c r="A44" s="457" t="s">
        <v>155</v>
      </c>
      <c r="B44" s="458"/>
      <c r="C44" s="458"/>
      <c r="D44" s="458"/>
      <c r="E44" s="458"/>
      <c r="F44" s="458"/>
      <c r="G44" s="458"/>
      <c r="H44" s="459"/>
    </row>
    <row r="45" spans="1:8" ht="31.5" customHeight="1">
      <c r="A45" s="62" t="s">
        <v>109</v>
      </c>
      <c r="B45" s="90">
        <v>6000</v>
      </c>
      <c r="C45" s="82">
        <v>432756</v>
      </c>
      <c r="D45" s="82">
        <v>44945</v>
      </c>
      <c r="E45" s="82">
        <v>432246</v>
      </c>
      <c r="F45" s="82">
        <v>44945</v>
      </c>
      <c r="G45" s="84">
        <f t="shared" ref="G45:G54" si="4">F45-E45</f>
        <v>-387301</v>
      </c>
      <c r="H45" s="85">
        <f>F45/E45*100</f>
        <v>10.3980140938262</v>
      </c>
    </row>
    <row r="46" spans="1:8" ht="26.25" customHeight="1">
      <c r="A46" s="62" t="s">
        <v>110</v>
      </c>
      <c r="B46" s="90">
        <v>6010</v>
      </c>
      <c r="C46" s="82">
        <v>6806</v>
      </c>
      <c r="D46" s="82">
        <v>8580</v>
      </c>
      <c r="E46" s="82">
        <v>9900</v>
      </c>
      <c r="F46" s="82">
        <v>8580</v>
      </c>
      <c r="G46" s="84">
        <f t="shared" si="4"/>
        <v>-1320</v>
      </c>
      <c r="H46" s="85">
        <f t="shared" ref="H46:H54" si="5">F46/E46*100</f>
        <v>86.666666666666671</v>
      </c>
    </row>
    <row r="47" spans="1:8" ht="20.25" customHeight="1">
      <c r="A47" s="91" t="s">
        <v>192</v>
      </c>
      <c r="B47" s="90">
        <v>6020</v>
      </c>
      <c r="C47" s="102">
        <v>591</v>
      </c>
      <c r="D47" s="102">
        <v>1055</v>
      </c>
      <c r="E47" s="102">
        <v>310</v>
      </c>
      <c r="F47" s="82">
        <v>1055</v>
      </c>
      <c r="G47" s="103">
        <f t="shared" si="4"/>
        <v>745</v>
      </c>
      <c r="H47" s="85">
        <f t="shared" si="5"/>
        <v>340.32258064516128</v>
      </c>
    </row>
    <row r="48" spans="1:8" ht="27.75" customHeight="1">
      <c r="A48" s="61" t="s">
        <v>190</v>
      </c>
      <c r="B48" s="90">
        <v>6030</v>
      </c>
      <c r="C48" s="205">
        <f>C45+C46</f>
        <v>439562</v>
      </c>
      <c r="D48" s="205">
        <f t="shared" ref="D48:F48" si="6">D45+D46</f>
        <v>53525</v>
      </c>
      <c r="E48" s="205">
        <f t="shared" si="6"/>
        <v>442146</v>
      </c>
      <c r="F48" s="205">
        <f t="shared" si="6"/>
        <v>53525</v>
      </c>
      <c r="G48" s="203">
        <f t="shared" si="4"/>
        <v>-388621</v>
      </c>
      <c r="H48" s="85">
        <f t="shared" si="5"/>
        <v>12.105729781565365</v>
      </c>
    </row>
    <row r="49" spans="1:8" ht="24.75" customHeight="1">
      <c r="A49" s="62" t="s">
        <v>124</v>
      </c>
      <c r="B49" s="90">
        <v>6040</v>
      </c>
      <c r="C49" s="82">
        <v>1039</v>
      </c>
      <c r="D49" s="82">
        <v>821</v>
      </c>
      <c r="E49" s="82">
        <v>450</v>
      </c>
      <c r="F49" s="82">
        <v>821</v>
      </c>
      <c r="G49" s="84">
        <f t="shared" si="4"/>
        <v>371</v>
      </c>
      <c r="H49" s="85">
        <f t="shared" si="5"/>
        <v>182.44444444444446</v>
      </c>
    </row>
    <row r="50" spans="1:8" ht="28.5" customHeight="1">
      <c r="A50" s="62" t="s">
        <v>125</v>
      </c>
      <c r="B50" s="90">
        <v>6050</v>
      </c>
      <c r="C50" s="82">
        <v>2188</v>
      </c>
      <c r="D50" s="82">
        <v>2484</v>
      </c>
      <c r="E50" s="82">
        <v>3000</v>
      </c>
      <c r="F50" s="82">
        <v>2484</v>
      </c>
      <c r="G50" s="84">
        <f t="shared" si="4"/>
        <v>-516</v>
      </c>
      <c r="H50" s="85">
        <f t="shared" si="5"/>
        <v>82.8</v>
      </c>
    </row>
    <row r="51" spans="1:8" ht="29.25" customHeight="1">
      <c r="A51" s="61" t="s">
        <v>191</v>
      </c>
      <c r="B51" s="90">
        <v>6060</v>
      </c>
      <c r="C51" s="203">
        <f>SUM(C49:C50)</f>
        <v>3227</v>
      </c>
      <c r="D51" s="203">
        <f>SUM(D49:D50)</f>
        <v>3305</v>
      </c>
      <c r="E51" s="203">
        <f>SUM(E49:E50)</f>
        <v>3450</v>
      </c>
      <c r="F51" s="82">
        <f>SUM(F49:F50)</f>
        <v>3305</v>
      </c>
      <c r="G51" s="203">
        <f t="shared" si="4"/>
        <v>-145</v>
      </c>
      <c r="H51" s="85">
        <f t="shared" si="5"/>
        <v>95.79710144927536</v>
      </c>
    </row>
    <row r="52" spans="1:8" ht="27" customHeight="1">
      <c r="A52" s="62" t="s">
        <v>193</v>
      </c>
      <c r="B52" s="90">
        <v>6070</v>
      </c>
      <c r="C52" s="82"/>
      <c r="D52" s="82"/>
      <c r="E52" s="82"/>
      <c r="F52" s="82"/>
      <c r="G52" s="84">
        <f t="shared" si="4"/>
        <v>0</v>
      </c>
      <c r="H52" s="85" t="e">
        <f t="shared" si="5"/>
        <v>#DIV/0!</v>
      </c>
    </row>
    <row r="53" spans="1:8" ht="24.75" customHeight="1">
      <c r="A53" s="62" t="s">
        <v>194</v>
      </c>
      <c r="B53" s="90">
        <v>6080</v>
      </c>
      <c r="C53" s="82"/>
      <c r="D53" s="82"/>
      <c r="E53" s="82"/>
      <c r="F53" s="82"/>
      <c r="G53" s="84">
        <f t="shared" si="4"/>
        <v>0</v>
      </c>
      <c r="H53" s="85" t="e">
        <f t="shared" si="5"/>
        <v>#DIV/0!</v>
      </c>
    </row>
    <row r="54" spans="1:8" ht="32.25" customHeight="1">
      <c r="A54" s="61" t="s">
        <v>111</v>
      </c>
      <c r="B54" s="151">
        <v>6090</v>
      </c>
      <c r="C54" s="205">
        <v>436335</v>
      </c>
      <c r="D54" s="205">
        <v>50220</v>
      </c>
      <c r="E54" s="205">
        <v>435510</v>
      </c>
      <c r="F54" s="82">
        <v>50220</v>
      </c>
      <c r="G54" s="203">
        <f t="shared" si="4"/>
        <v>-385290</v>
      </c>
      <c r="H54" s="85">
        <f t="shared" si="5"/>
        <v>11.53130812151271</v>
      </c>
    </row>
    <row r="55" spans="1:8" ht="18.75">
      <c r="A55" s="23"/>
      <c r="B55" s="21"/>
      <c r="C55" s="21"/>
      <c r="D55" s="21"/>
      <c r="E55" s="21"/>
      <c r="F55" s="21"/>
      <c r="G55" s="21"/>
      <c r="H55" s="21"/>
    </row>
    <row r="56" spans="1:8" ht="36.75" customHeight="1">
      <c r="A56" s="344" t="s">
        <v>710</v>
      </c>
      <c r="B56" s="468" t="s">
        <v>269</v>
      </c>
      <c r="C56" s="468"/>
      <c r="D56" s="345"/>
      <c r="E56" s="346"/>
      <c r="F56" s="472" t="s">
        <v>489</v>
      </c>
      <c r="G56" s="472"/>
      <c r="H56" s="472"/>
    </row>
    <row r="57" spans="1:8" ht="15.75">
      <c r="A57" s="347" t="s">
        <v>67</v>
      </c>
      <c r="B57" s="348"/>
      <c r="C57" s="347" t="s">
        <v>68</v>
      </c>
      <c r="D57" s="347"/>
      <c r="E57" s="348"/>
      <c r="F57" s="467" t="s">
        <v>708</v>
      </c>
      <c r="G57" s="467"/>
      <c r="H57" s="467"/>
    </row>
  </sheetData>
  <mergeCells count="20">
    <mergeCell ref="F57:H57"/>
    <mergeCell ref="B56:C56"/>
    <mergeCell ref="A38:H38"/>
    <mergeCell ref="A40:H40"/>
    <mergeCell ref="A44:H44"/>
    <mergeCell ref="F56:H56"/>
    <mergeCell ref="A12:H12"/>
    <mergeCell ref="F26:H26"/>
    <mergeCell ref="A27:H27"/>
    <mergeCell ref="A34:H34"/>
    <mergeCell ref="A1:B1"/>
    <mergeCell ref="A2:H2"/>
    <mergeCell ref="A3:H3"/>
    <mergeCell ref="A4:H4"/>
    <mergeCell ref="A5:H5"/>
    <mergeCell ref="A7:H7"/>
    <mergeCell ref="A9:A10"/>
    <mergeCell ref="B9:B10"/>
    <mergeCell ref="E9:H9"/>
    <mergeCell ref="C9:D9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21"/>
  <sheetViews>
    <sheetView workbookViewId="0">
      <selection activeCell="A4" sqref="A4:H15"/>
    </sheetView>
  </sheetViews>
  <sheetFormatPr defaultRowHeight="12.75"/>
  <cols>
    <col min="1" max="1" width="36.140625" customWidth="1"/>
    <col min="2" max="2" width="0.140625" customWidth="1"/>
    <col min="3" max="3" width="10.5703125" customWidth="1"/>
    <col min="4" max="4" width="11.7109375" customWidth="1"/>
    <col min="5" max="5" width="11.140625" customWidth="1"/>
    <col min="6" max="7" width="10.140625" customWidth="1"/>
    <col min="8" max="8" width="13.28515625" customWidth="1"/>
  </cols>
  <sheetData>
    <row r="1" spans="1:8" ht="45" customHeight="1">
      <c r="A1" s="231"/>
      <c r="B1" s="231"/>
      <c r="C1" s="231"/>
      <c r="D1" s="231"/>
      <c r="E1" s="231"/>
      <c r="F1" s="716" t="s">
        <v>361</v>
      </c>
      <c r="G1" s="716"/>
      <c r="H1" s="716"/>
    </row>
    <row r="2" spans="1:8" ht="48" customHeight="1">
      <c r="A2" s="717" t="s">
        <v>868</v>
      </c>
      <c r="B2" s="717"/>
      <c r="C2" s="717"/>
      <c r="D2" s="717"/>
      <c r="E2" s="717"/>
      <c r="F2" s="717"/>
      <c r="G2" s="717"/>
      <c r="H2" s="717"/>
    </row>
    <row r="3" spans="1:8" ht="23.25" customHeight="1">
      <c r="A3" s="231"/>
      <c r="B3" s="231"/>
      <c r="C3" s="231"/>
      <c r="D3" s="231"/>
      <c r="E3" s="231"/>
      <c r="F3" s="231"/>
      <c r="G3" s="231"/>
      <c r="H3" s="231" t="s">
        <v>294</v>
      </c>
    </row>
    <row r="4" spans="1:8" ht="18.75">
      <c r="A4" s="718" t="s">
        <v>295</v>
      </c>
      <c r="B4" s="720" t="s">
        <v>296</v>
      </c>
      <c r="C4" s="720"/>
      <c r="D4" s="720"/>
      <c r="E4" s="720"/>
      <c r="F4" s="720"/>
      <c r="G4" s="720"/>
      <c r="H4" s="720"/>
    </row>
    <row r="5" spans="1:8" ht="44.25" customHeight="1">
      <c r="A5" s="719"/>
      <c r="B5" s="232">
        <v>2013</v>
      </c>
      <c r="C5" s="232">
        <v>2014</v>
      </c>
      <c r="D5" s="232">
        <v>2015</v>
      </c>
      <c r="E5" s="232">
        <v>2016</v>
      </c>
      <c r="F5" s="232">
        <v>2017</v>
      </c>
      <c r="G5" s="232">
        <v>2018</v>
      </c>
      <c r="H5" s="232" t="s">
        <v>866</v>
      </c>
    </row>
    <row r="6" spans="1:8" ht="24" customHeight="1">
      <c r="A6" s="233" t="s">
        <v>297</v>
      </c>
      <c r="B6" s="255">
        <v>58496</v>
      </c>
      <c r="C6" s="255">
        <v>61297.2</v>
      </c>
      <c r="D6" s="255">
        <v>69449.600000000006</v>
      </c>
      <c r="E6" s="255">
        <v>68809</v>
      </c>
      <c r="F6" s="255">
        <v>36960.800000000003</v>
      </c>
      <c r="G6" s="255">
        <v>48942</v>
      </c>
      <c r="H6" s="255">
        <v>45820</v>
      </c>
    </row>
    <row r="7" spans="1:8" ht="27" customHeight="1">
      <c r="A7" s="233" t="s">
        <v>203</v>
      </c>
      <c r="B7" s="255">
        <v>58427.8</v>
      </c>
      <c r="C7" s="255">
        <v>61118.2</v>
      </c>
      <c r="D7" s="255">
        <v>69409.899999999994</v>
      </c>
      <c r="E7" s="255">
        <v>68546</v>
      </c>
      <c r="F7" s="255">
        <v>37164.9</v>
      </c>
      <c r="G7" s="255">
        <v>46591</v>
      </c>
      <c r="H7" s="255">
        <v>45666</v>
      </c>
    </row>
    <row r="8" spans="1:8" ht="29.25" customHeight="1">
      <c r="A8" s="233" t="s">
        <v>298</v>
      </c>
      <c r="B8" s="255">
        <f>B6-B7</f>
        <v>68.19999999999709</v>
      </c>
      <c r="C8" s="255">
        <f>C6-C7</f>
        <v>179</v>
      </c>
      <c r="D8" s="255">
        <f>D6-D7</f>
        <v>39.700000000011642</v>
      </c>
      <c r="E8" s="255">
        <f>E6-E7</f>
        <v>263</v>
      </c>
      <c r="F8" s="255">
        <f>F6-F7</f>
        <v>-204.09999999999854</v>
      </c>
      <c r="G8" s="255">
        <v>1531</v>
      </c>
      <c r="H8" s="255">
        <v>164</v>
      </c>
    </row>
    <row r="9" spans="1:8" ht="32.25" customHeight="1">
      <c r="A9" s="233" t="s">
        <v>299</v>
      </c>
      <c r="B9" s="255"/>
      <c r="C9" s="255"/>
      <c r="D9" s="255"/>
      <c r="E9" s="255"/>
      <c r="F9" s="255"/>
      <c r="G9" s="255"/>
      <c r="H9" s="255"/>
    </row>
    <row r="10" spans="1:8" ht="47.25" customHeight="1">
      <c r="A10" s="233" t="s">
        <v>300</v>
      </c>
      <c r="B10" s="255"/>
      <c r="C10" s="255">
        <f>B10+C8-C9</f>
        <v>179</v>
      </c>
      <c r="D10" s="255">
        <f>C10+D8-D9</f>
        <v>218.70000000001164</v>
      </c>
      <c r="E10" s="255">
        <f>D10+E8-E9</f>
        <v>481.70000000001164</v>
      </c>
      <c r="F10" s="255">
        <f>E10+F8-F9</f>
        <v>277.6000000000131</v>
      </c>
      <c r="G10" s="255">
        <v>403</v>
      </c>
      <c r="H10" s="255">
        <v>1007</v>
      </c>
    </row>
    <row r="11" spans="1:8" ht="46.5" customHeight="1">
      <c r="A11" s="233" t="s">
        <v>332</v>
      </c>
      <c r="B11" s="255">
        <v>5945.2</v>
      </c>
      <c r="C11" s="255">
        <v>6981.8</v>
      </c>
      <c r="D11" s="255">
        <v>6591.1</v>
      </c>
      <c r="E11" s="255">
        <v>2401</v>
      </c>
      <c r="F11" s="255">
        <v>3198</v>
      </c>
      <c r="G11" s="255">
        <v>4071</v>
      </c>
      <c r="H11" s="255"/>
    </row>
    <row r="12" spans="1:8" ht="43.5" customHeight="1">
      <c r="A12" s="233" t="s">
        <v>333</v>
      </c>
      <c r="B12" s="255">
        <v>1242.8</v>
      </c>
      <c r="C12" s="255">
        <v>2171</v>
      </c>
      <c r="D12" s="255">
        <v>982</v>
      </c>
      <c r="E12" s="255">
        <v>552</v>
      </c>
      <c r="F12" s="255">
        <v>1135</v>
      </c>
      <c r="G12" s="255">
        <v>503</v>
      </c>
      <c r="H12" s="255"/>
    </row>
    <row r="13" spans="1:8" ht="41.25" customHeight="1">
      <c r="A13" s="234" t="s">
        <v>334</v>
      </c>
      <c r="B13" s="255">
        <v>88</v>
      </c>
      <c r="C13" s="255">
        <v>87</v>
      </c>
      <c r="D13" s="255">
        <v>109</v>
      </c>
      <c r="E13" s="255">
        <v>282</v>
      </c>
      <c r="F13" s="255">
        <v>252</v>
      </c>
      <c r="G13" s="255">
        <v>242</v>
      </c>
      <c r="H13" s="255">
        <v>276</v>
      </c>
    </row>
    <row r="14" spans="1:8" ht="33.75" customHeight="1">
      <c r="A14" s="235" t="s">
        <v>462</v>
      </c>
      <c r="B14" s="279">
        <v>85</v>
      </c>
      <c r="C14" s="279">
        <v>87</v>
      </c>
      <c r="D14" s="279">
        <v>108</v>
      </c>
      <c r="E14" s="279">
        <v>278</v>
      </c>
      <c r="F14" s="279">
        <v>250</v>
      </c>
      <c r="G14" s="279">
        <v>240</v>
      </c>
      <c r="H14" s="279">
        <v>276</v>
      </c>
    </row>
    <row r="15" spans="1:8" ht="51" customHeight="1">
      <c r="A15" s="234" t="s">
        <v>335</v>
      </c>
      <c r="B15" s="279">
        <v>157</v>
      </c>
      <c r="C15" s="279">
        <v>149</v>
      </c>
      <c r="D15" s="279">
        <v>147</v>
      </c>
      <c r="E15" s="279">
        <v>332</v>
      </c>
      <c r="F15" s="279">
        <v>332</v>
      </c>
      <c r="G15" s="279">
        <v>330</v>
      </c>
      <c r="H15" s="279">
        <v>276</v>
      </c>
    </row>
    <row r="16" spans="1:8" ht="35.25" customHeight="1">
      <c r="A16" s="715" t="s">
        <v>301</v>
      </c>
      <c r="B16" s="715"/>
      <c r="C16" s="715"/>
      <c r="D16" s="715"/>
      <c r="E16" s="715"/>
      <c r="F16" s="715"/>
      <c r="G16" s="715"/>
      <c r="H16" s="715"/>
    </row>
    <row r="18" spans="1:1" ht="15.75">
      <c r="A18" s="349" t="s">
        <v>711</v>
      </c>
    </row>
    <row r="19" spans="1:1">
      <c r="A19" s="254"/>
    </row>
    <row r="20" spans="1:1">
      <c r="A20" s="343" t="s">
        <v>492</v>
      </c>
    </row>
    <row r="21" spans="1:1">
      <c r="A21" s="254"/>
    </row>
  </sheetData>
  <mergeCells count="5">
    <mergeCell ref="A16:H16"/>
    <mergeCell ref="F1:H1"/>
    <mergeCell ref="A2:H2"/>
    <mergeCell ref="A4:A5"/>
    <mergeCell ref="B4:H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216"/>
  <sheetViews>
    <sheetView zoomScale="80" zoomScaleNormal="80" workbookViewId="0">
      <selection activeCell="D230" sqref="D230"/>
    </sheetView>
  </sheetViews>
  <sheetFormatPr defaultRowHeight="12.75"/>
  <cols>
    <col min="1" max="1" width="4.42578125" customWidth="1"/>
    <col min="2" max="2" width="30.42578125" customWidth="1"/>
    <col min="3" max="3" width="20.42578125" customWidth="1"/>
    <col min="4" max="4" width="17" customWidth="1"/>
    <col min="5" max="5" width="9.28515625" customWidth="1"/>
    <col min="6" max="6" width="8.140625" customWidth="1"/>
    <col min="7" max="7" width="8.85546875" customWidth="1"/>
    <col min="8" max="8" width="7.42578125" customWidth="1"/>
    <col min="9" max="9" width="8.85546875" customWidth="1"/>
    <col min="10" max="10" width="7" customWidth="1"/>
    <col min="11" max="11" width="5.5703125" customWidth="1"/>
    <col min="12" max="12" width="6.5703125" customWidth="1"/>
    <col min="13" max="13" width="26.42578125" customWidth="1"/>
    <col min="14" max="14" width="10.140625" customWidth="1"/>
    <col min="15" max="15" width="11.7109375" customWidth="1"/>
  </cols>
  <sheetData>
    <row r="1" spans="1:15" ht="35.25" customHeight="1">
      <c r="A1" s="173"/>
      <c r="B1" s="174"/>
      <c r="C1" s="174"/>
      <c r="D1" s="174"/>
      <c r="E1" s="175"/>
      <c r="F1" s="175"/>
      <c r="G1" s="175"/>
      <c r="H1" s="175"/>
      <c r="I1" s="732" t="s">
        <v>366</v>
      </c>
      <c r="J1" s="732"/>
      <c r="K1" s="732"/>
      <c r="L1" s="732"/>
      <c r="M1" s="732"/>
    </row>
    <row r="2" spans="1:15" ht="24" customHeight="1">
      <c r="A2" s="733" t="s">
        <v>490</v>
      </c>
      <c r="B2" s="733"/>
      <c r="C2" s="733"/>
      <c r="D2" s="733"/>
      <c r="E2" s="733"/>
      <c r="F2" s="733"/>
      <c r="G2" s="733"/>
      <c r="H2" s="733"/>
      <c r="I2" s="733"/>
      <c r="J2" s="733"/>
      <c r="K2" s="733"/>
      <c r="L2" s="733"/>
      <c r="M2" s="733"/>
    </row>
    <row r="3" spans="1:15" ht="17.25" customHeight="1">
      <c r="A3" s="173"/>
      <c r="B3" s="734" t="s">
        <v>991</v>
      </c>
      <c r="C3" s="734"/>
      <c r="D3" s="734"/>
      <c r="E3" s="734"/>
      <c r="F3" s="734"/>
      <c r="G3" s="734"/>
      <c r="H3" s="734"/>
      <c r="I3" s="734"/>
      <c r="J3" s="734"/>
      <c r="K3" s="734"/>
      <c r="L3" s="734"/>
      <c r="M3" s="173"/>
    </row>
    <row r="4" spans="1:15" ht="22.5" customHeight="1">
      <c r="A4" s="381"/>
      <c r="B4" s="735" t="s">
        <v>881</v>
      </c>
      <c r="C4" s="735"/>
      <c r="D4" s="735"/>
      <c r="E4" s="735"/>
      <c r="F4" s="735"/>
      <c r="G4" s="735"/>
      <c r="H4" s="735"/>
      <c r="I4" s="382"/>
      <c r="J4" s="382"/>
      <c r="K4" s="382"/>
      <c r="L4" s="382"/>
      <c r="M4" s="381"/>
      <c r="N4" s="254"/>
      <c r="O4" s="254"/>
    </row>
    <row r="5" spans="1:15" ht="15.75">
      <c r="A5" s="381"/>
      <c r="B5" s="735" t="s">
        <v>882</v>
      </c>
      <c r="C5" s="735"/>
      <c r="D5" s="735"/>
      <c r="E5" s="735"/>
      <c r="F5" s="735"/>
      <c r="G5" s="735"/>
      <c r="H5" s="735"/>
      <c r="I5" s="382"/>
      <c r="J5" s="382"/>
      <c r="K5" s="382"/>
      <c r="L5" s="382"/>
      <c r="M5" s="381"/>
      <c r="N5" s="254"/>
      <c r="O5" s="254"/>
    </row>
    <row r="6" spans="1:15" ht="6.75" customHeight="1">
      <c r="A6" s="381"/>
      <c r="B6" s="382"/>
      <c r="C6" s="382"/>
      <c r="D6" s="382"/>
      <c r="E6" s="382"/>
      <c r="F6" s="382"/>
      <c r="G6" s="382"/>
      <c r="H6" s="382"/>
      <c r="I6" s="382"/>
      <c r="J6" s="382"/>
      <c r="K6" s="382"/>
      <c r="L6" s="382"/>
      <c r="M6" s="381"/>
      <c r="N6" s="254"/>
      <c r="O6" s="254"/>
    </row>
    <row r="7" spans="1:15" ht="12.75" customHeight="1">
      <c r="A7" s="736" t="s">
        <v>311</v>
      </c>
      <c r="B7" s="736"/>
      <c r="C7" s="736"/>
      <c r="D7" s="736"/>
      <c r="E7" s="383"/>
      <c r="F7" s="383"/>
      <c r="G7" s="383"/>
      <c r="H7" s="383"/>
      <c r="I7" s="383"/>
      <c r="J7" s="383"/>
      <c r="K7" s="383"/>
      <c r="L7" s="384"/>
      <c r="M7" s="384"/>
      <c r="N7" s="254"/>
      <c r="O7" s="384" t="s">
        <v>294</v>
      </c>
    </row>
    <row r="8" spans="1:15" ht="15" customHeight="1">
      <c r="A8" s="731" t="s">
        <v>312</v>
      </c>
      <c r="B8" s="723" t="s">
        <v>313</v>
      </c>
      <c r="C8" s="723" t="s">
        <v>314</v>
      </c>
      <c r="D8" s="723" t="s">
        <v>315</v>
      </c>
      <c r="E8" s="723" t="s">
        <v>316</v>
      </c>
      <c r="F8" s="723"/>
      <c r="G8" s="723" t="s">
        <v>317</v>
      </c>
      <c r="H8" s="723"/>
      <c r="I8" s="723" t="s">
        <v>318</v>
      </c>
      <c r="J8" s="723"/>
      <c r="K8" s="723" t="s">
        <v>319</v>
      </c>
      <c r="L8" s="723"/>
      <c r="M8" s="728" t="s">
        <v>320</v>
      </c>
      <c r="N8" s="724" t="s">
        <v>321</v>
      </c>
      <c r="O8" s="725"/>
    </row>
    <row r="9" spans="1:15" ht="22.5" customHeight="1">
      <c r="A9" s="731"/>
      <c r="B9" s="723"/>
      <c r="C9" s="723"/>
      <c r="D9" s="723"/>
      <c r="E9" s="723"/>
      <c r="F9" s="723"/>
      <c r="G9" s="723"/>
      <c r="H9" s="723"/>
      <c r="I9" s="723"/>
      <c r="J9" s="723"/>
      <c r="K9" s="723"/>
      <c r="L9" s="723"/>
      <c r="M9" s="729"/>
      <c r="N9" s="726"/>
      <c r="O9" s="727"/>
    </row>
    <row r="10" spans="1:15" ht="15.75" customHeight="1">
      <c r="A10" s="731"/>
      <c r="B10" s="723"/>
      <c r="C10" s="723"/>
      <c r="D10" s="723"/>
      <c r="E10" s="385" t="s">
        <v>322</v>
      </c>
      <c r="F10" s="385" t="s">
        <v>323</v>
      </c>
      <c r="G10" s="385" t="s">
        <v>322</v>
      </c>
      <c r="H10" s="385" t="s">
        <v>323</v>
      </c>
      <c r="I10" s="385" t="s">
        <v>322</v>
      </c>
      <c r="J10" s="385" t="s">
        <v>323</v>
      </c>
      <c r="K10" s="385" t="s">
        <v>322</v>
      </c>
      <c r="L10" s="385" t="s">
        <v>323</v>
      </c>
      <c r="M10" s="386" t="s">
        <v>324</v>
      </c>
      <c r="N10" s="385" t="s">
        <v>322</v>
      </c>
      <c r="O10" s="385" t="s">
        <v>323</v>
      </c>
    </row>
    <row r="11" spans="1:15" ht="10.5" customHeight="1">
      <c r="A11" s="387" t="s">
        <v>629</v>
      </c>
      <c r="B11" s="385">
        <v>2</v>
      </c>
      <c r="C11" s="385">
        <v>3</v>
      </c>
      <c r="D11" s="385">
        <v>4</v>
      </c>
      <c r="E11" s="385">
        <v>5</v>
      </c>
      <c r="F11" s="385">
        <v>6</v>
      </c>
      <c r="G11" s="385">
        <v>7</v>
      </c>
      <c r="H11" s="385">
        <v>8</v>
      </c>
      <c r="I11" s="385">
        <v>9</v>
      </c>
      <c r="J11" s="385">
        <v>10</v>
      </c>
      <c r="K11" s="385">
        <v>11</v>
      </c>
      <c r="L11" s="385">
        <v>12</v>
      </c>
      <c r="M11" s="387">
        <v>13</v>
      </c>
      <c r="N11" s="388">
        <v>14</v>
      </c>
      <c r="O11" s="388">
        <v>15</v>
      </c>
    </row>
    <row r="12" spans="1:15" ht="17.25" customHeight="1">
      <c r="A12" s="406">
        <v>1</v>
      </c>
      <c r="B12" s="176" t="s">
        <v>556</v>
      </c>
      <c r="C12" s="407" t="s">
        <v>557</v>
      </c>
      <c r="D12" s="176" t="s">
        <v>487</v>
      </c>
      <c r="E12" s="408">
        <v>1</v>
      </c>
      <c r="F12" s="323">
        <v>9.5</v>
      </c>
      <c r="G12" s="408">
        <v>1</v>
      </c>
      <c r="H12" s="323">
        <v>9.5</v>
      </c>
      <c r="I12" s="408"/>
      <c r="J12" s="323"/>
      <c r="K12" s="176"/>
      <c r="L12" s="176"/>
      <c r="M12" s="406"/>
      <c r="N12" s="241">
        <v>1</v>
      </c>
      <c r="O12" s="409">
        <v>9.5</v>
      </c>
    </row>
    <row r="13" spans="1:15" ht="17.25" customHeight="1">
      <c r="A13" s="406">
        <v>2</v>
      </c>
      <c r="B13" s="176" t="s">
        <v>558</v>
      </c>
      <c r="C13" s="407" t="s">
        <v>559</v>
      </c>
      <c r="D13" s="176" t="s">
        <v>487</v>
      </c>
      <c r="E13" s="408">
        <v>1</v>
      </c>
      <c r="F13" s="408">
        <v>8.1</v>
      </c>
      <c r="G13" s="408"/>
      <c r="H13" s="408"/>
      <c r="I13" s="241"/>
      <c r="J13" s="241"/>
      <c r="K13" s="176"/>
      <c r="L13" s="176"/>
      <c r="M13" s="410" t="s">
        <v>594</v>
      </c>
      <c r="N13" s="411"/>
      <c r="O13" s="411"/>
    </row>
    <row r="14" spans="1:15" ht="17.25" customHeight="1">
      <c r="A14" s="406">
        <v>3</v>
      </c>
      <c r="B14" s="176" t="s">
        <v>560</v>
      </c>
      <c r="C14" s="407" t="s">
        <v>561</v>
      </c>
      <c r="D14" s="176" t="s">
        <v>487</v>
      </c>
      <c r="E14" s="408">
        <v>1</v>
      </c>
      <c r="F14" s="323">
        <v>6.2</v>
      </c>
      <c r="G14" s="408">
        <v>1</v>
      </c>
      <c r="H14" s="323">
        <v>6.2</v>
      </c>
      <c r="I14" s="241"/>
      <c r="J14" s="373"/>
      <c r="K14" s="176"/>
      <c r="L14" s="176"/>
      <c r="M14" s="412"/>
      <c r="N14" s="241">
        <v>1</v>
      </c>
      <c r="O14" s="409">
        <v>6.2</v>
      </c>
    </row>
    <row r="15" spans="1:15" ht="17.25" customHeight="1">
      <c r="A15" s="406">
        <v>4</v>
      </c>
      <c r="B15" s="176" t="s">
        <v>562</v>
      </c>
      <c r="C15" s="407" t="s">
        <v>563</v>
      </c>
      <c r="D15" s="176" t="s">
        <v>487</v>
      </c>
      <c r="E15" s="408">
        <v>1</v>
      </c>
      <c r="F15" s="323">
        <v>6.6</v>
      </c>
      <c r="G15" s="408">
        <v>1</v>
      </c>
      <c r="H15" s="323">
        <v>6.6</v>
      </c>
      <c r="I15" s="241"/>
      <c r="J15" s="373"/>
      <c r="K15" s="176"/>
      <c r="L15" s="176"/>
      <c r="M15" s="412"/>
      <c r="N15" s="241">
        <v>1</v>
      </c>
      <c r="O15" s="409">
        <v>6.6</v>
      </c>
    </row>
    <row r="16" spans="1:15" ht="17.25" customHeight="1">
      <c r="A16" s="406">
        <v>5</v>
      </c>
      <c r="B16" s="176" t="s">
        <v>564</v>
      </c>
      <c r="C16" s="407" t="s">
        <v>565</v>
      </c>
      <c r="D16" s="176" t="s">
        <v>487</v>
      </c>
      <c r="E16" s="408">
        <v>1</v>
      </c>
      <c r="F16" s="323">
        <v>8.1</v>
      </c>
      <c r="G16" s="408">
        <v>1</v>
      </c>
      <c r="H16" s="408">
        <v>8.1</v>
      </c>
      <c r="I16" s="241"/>
      <c r="J16" s="373"/>
      <c r="K16" s="176"/>
      <c r="L16" s="176"/>
      <c r="M16" s="406"/>
      <c r="N16" s="241">
        <v>1</v>
      </c>
      <c r="O16" s="241">
        <v>8.1</v>
      </c>
    </row>
    <row r="17" spans="1:15" ht="17.25" customHeight="1">
      <c r="A17" s="406">
        <v>6</v>
      </c>
      <c r="B17" s="176" t="s">
        <v>566</v>
      </c>
      <c r="C17" s="407" t="s">
        <v>567</v>
      </c>
      <c r="D17" s="176" t="s">
        <v>487</v>
      </c>
      <c r="E17" s="408">
        <v>1</v>
      </c>
      <c r="F17" s="323">
        <v>9.5</v>
      </c>
      <c r="G17" s="408">
        <v>1</v>
      </c>
      <c r="H17" s="408">
        <v>9.5</v>
      </c>
      <c r="I17" s="241"/>
      <c r="J17" s="373"/>
      <c r="K17" s="176"/>
      <c r="L17" s="176"/>
      <c r="M17" s="410" t="s">
        <v>594</v>
      </c>
      <c r="N17" s="241"/>
      <c r="O17" s="409"/>
    </row>
    <row r="18" spans="1:15" ht="17.25" customHeight="1">
      <c r="A18" s="406">
        <v>7</v>
      </c>
      <c r="B18" s="176" t="s">
        <v>568</v>
      </c>
      <c r="C18" s="407" t="s">
        <v>569</v>
      </c>
      <c r="D18" s="176" t="s">
        <v>487</v>
      </c>
      <c r="E18" s="408">
        <v>1</v>
      </c>
      <c r="F18" s="323">
        <v>9.1999999999999993</v>
      </c>
      <c r="G18" s="408"/>
      <c r="H18" s="408"/>
      <c r="I18" s="241"/>
      <c r="J18" s="373"/>
      <c r="K18" s="176"/>
      <c r="L18" s="176"/>
      <c r="M18" s="410" t="s">
        <v>570</v>
      </c>
      <c r="N18" s="241"/>
      <c r="O18" s="241"/>
    </row>
    <row r="19" spans="1:15" ht="17.25" customHeight="1">
      <c r="A19" s="406">
        <v>8</v>
      </c>
      <c r="B19" s="176" t="s">
        <v>571</v>
      </c>
      <c r="C19" s="407" t="s">
        <v>572</v>
      </c>
      <c r="D19" s="176" t="s">
        <v>487</v>
      </c>
      <c r="E19" s="408">
        <v>1</v>
      </c>
      <c r="F19" s="323">
        <v>8.6</v>
      </c>
      <c r="G19" s="408">
        <v>1</v>
      </c>
      <c r="H19" s="408">
        <v>8.6</v>
      </c>
      <c r="I19" s="241"/>
      <c r="J19" s="373"/>
      <c r="K19" s="176"/>
      <c r="L19" s="176"/>
      <c r="M19" s="413"/>
      <c r="N19" s="241">
        <v>1</v>
      </c>
      <c r="O19" s="241">
        <v>8.6</v>
      </c>
    </row>
    <row r="20" spans="1:15" ht="17.25" customHeight="1">
      <c r="A20" s="324">
        <v>9</v>
      </c>
      <c r="B20" s="176" t="s">
        <v>573</v>
      </c>
      <c r="C20" s="407" t="s">
        <v>574</v>
      </c>
      <c r="D20" s="176" t="s">
        <v>487</v>
      </c>
      <c r="E20" s="408">
        <v>1</v>
      </c>
      <c r="F20" s="323">
        <v>8.3000000000000007</v>
      </c>
      <c r="G20" s="408">
        <v>1</v>
      </c>
      <c r="H20" s="323">
        <v>8.3000000000000007</v>
      </c>
      <c r="I20" s="414"/>
      <c r="J20" s="414"/>
      <c r="K20" s="176"/>
      <c r="L20" s="176"/>
      <c r="M20" s="413"/>
      <c r="N20" s="241">
        <v>1</v>
      </c>
      <c r="O20" s="409">
        <v>8.3000000000000007</v>
      </c>
    </row>
    <row r="21" spans="1:15" ht="17.25" customHeight="1">
      <c r="A21" s="406">
        <v>10</v>
      </c>
      <c r="B21" s="176" t="s">
        <v>575</v>
      </c>
      <c r="C21" s="407" t="s">
        <v>576</v>
      </c>
      <c r="D21" s="176" t="s">
        <v>487</v>
      </c>
      <c r="E21" s="408">
        <v>1</v>
      </c>
      <c r="F21" s="323">
        <v>7.6</v>
      </c>
      <c r="G21" s="408">
        <v>1</v>
      </c>
      <c r="H21" s="323">
        <v>7.6</v>
      </c>
      <c r="I21" s="241"/>
      <c r="J21" s="373"/>
      <c r="K21" s="176"/>
      <c r="L21" s="176"/>
      <c r="M21" s="413"/>
      <c r="N21" s="241">
        <v>1</v>
      </c>
      <c r="O21" s="409">
        <v>7.6</v>
      </c>
    </row>
    <row r="22" spans="1:15" ht="17.25" customHeight="1">
      <c r="A22" s="406">
        <v>11</v>
      </c>
      <c r="B22" s="176" t="s">
        <v>577</v>
      </c>
      <c r="C22" s="407" t="s">
        <v>578</v>
      </c>
      <c r="D22" s="176" t="s">
        <v>487</v>
      </c>
      <c r="E22" s="408">
        <v>1</v>
      </c>
      <c r="F22" s="323">
        <v>13.2</v>
      </c>
      <c r="G22" s="408">
        <v>1</v>
      </c>
      <c r="H22" s="408">
        <v>13.2</v>
      </c>
      <c r="I22" s="241"/>
      <c r="J22" s="373"/>
      <c r="K22" s="176"/>
      <c r="L22" s="176"/>
      <c r="M22" s="413"/>
      <c r="N22" s="241">
        <v>1</v>
      </c>
      <c r="O22" s="241">
        <v>13.2</v>
      </c>
    </row>
    <row r="23" spans="1:15" ht="17.25" customHeight="1">
      <c r="A23" s="406">
        <v>12</v>
      </c>
      <c r="B23" s="176" t="s">
        <v>579</v>
      </c>
      <c r="C23" s="407" t="s">
        <v>580</v>
      </c>
      <c r="D23" s="176" t="s">
        <v>487</v>
      </c>
      <c r="E23" s="408">
        <v>1</v>
      </c>
      <c r="F23" s="323">
        <v>7.7</v>
      </c>
      <c r="G23" s="408">
        <v>1</v>
      </c>
      <c r="H23" s="323">
        <v>7.7</v>
      </c>
      <c r="I23" s="241"/>
      <c r="J23" s="373"/>
      <c r="K23" s="176"/>
      <c r="L23" s="176"/>
      <c r="M23" s="406"/>
      <c r="N23" s="241">
        <v>1</v>
      </c>
      <c r="O23" s="409">
        <v>7.7</v>
      </c>
    </row>
    <row r="24" spans="1:15" ht="17.25" customHeight="1">
      <c r="A24" s="406">
        <v>13</v>
      </c>
      <c r="B24" s="176" t="s">
        <v>581</v>
      </c>
      <c r="C24" s="415" t="s">
        <v>582</v>
      </c>
      <c r="D24" s="176" t="s">
        <v>487</v>
      </c>
      <c r="E24" s="408">
        <v>1</v>
      </c>
      <c r="F24" s="325">
        <v>4.2</v>
      </c>
      <c r="G24" s="408">
        <v>1</v>
      </c>
      <c r="H24" s="408">
        <v>4.2</v>
      </c>
      <c r="I24" s="241"/>
      <c r="J24" s="374"/>
      <c r="K24" s="408">
        <v>1</v>
      </c>
      <c r="L24" s="408">
        <v>4.2</v>
      </c>
      <c r="M24" s="416" t="s">
        <v>594</v>
      </c>
      <c r="N24" s="241"/>
      <c r="O24" s="241"/>
    </row>
    <row r="25" spans="1:15" ht="17.25" customHeight="1">
      <c r="A25" s="406">
        <v>14</v>
      </c>
      <c r="B25" s="176" t="s">
        <v>583</v>
      </c>
      <c r="C25" s="407" t="s">
        <v>584</v>
      </c>
      <c r="D25" s="176" t="s">
        <v>487</v>
      </c>
      <c r="E25" s="408">
        <v>1</v>
      </c>
      <c r="F25" s="325">
        <v>5.5</v>
      </c>
      <c r="G25" s="408">
        <v>1</v>
      </c>
      <c r="H25" s="325">
        <v>5.5</v>
      </c>
      <c r="I25" s="241"/>
      <c r="J25" s="374"/>
      <c r="K25" s="176"/>
      <c r="L25" s="176"/>
      <c r="M25" s="413"/>
      <c r="N25" s="241">
        <v>1</v>
      </c>
      <c r="O25" s="417">
        <v>5.5</v>
      </c>
    </row>
    <row r="26" spans="1:15" ht="17.25" customHeight="1">
      <c r="A26" s="280">
        <v>15</v>
      </c>
      <c r="B26" s="176" t="s">
        <v>585</v>
      </c>
      <c r="C26" s="407" t="s">
        <v>586</v>
      </c>
      <c r="D26" s="176" t="s">
        <v>487</v>
      </c>
      <c r="E26" s="408">
        <v>1</v>
      </c>
      <c r="F26" s="325">
        <v>10.4</v>
      </c>
      <c r="G26" s="408">
        <v>1</v>
      </c>
      <c r="H26" s="325">
        <v>10.4</v>
      </c>
      <c r="I26" s="241"/>
      <c r="J26" s="374"/>
      <c r="K26" s="176"/>
      <c r="L26" s="176"/>
      <c r="M26" s="406"/>
      <c r="N26" s="241">
        <v>1</v>
      </c>
      <c r="O26" s="417">
        <v>10.4</v>
      </c>
    </row>
    <row r="27" spans="1:15" ht="17.25" customHeight="1">
      <c r="A27" s="406">
        <v>16</v>
      </c>
      <c r="B27" s="176" t="s">
        <v>587</v>
      </c>
      <c r="C27" s="407" t="s">
        <v>588</v>
      </c>
      <c r="D27" s="176" t="s">
        <v>487</v>
      </c>
      <c r="E27" s="408">
        <v>1</v>
      </c>
      <c r="F27" s="325">
        <v>12.4</v>
      </c>
      <c r="G27" s="408"/>
      <c r="H27" s="408"/>
      <c r="I27" s="241"/>
      <c r="J27" s="374"/>
      <c r="K27" s="176"/>
      <c r="L27" s="176"/>
      <c r="M27" s="410" t="s">
        <v>589</v>
      </c>
      <c r="N27" s="411"/>
      <c r="O27" s="411"/>
    </row>
    <row r="28" spans="1:15" ht="17.25" customHeight="1">
      <c r="A28" s="406">
        <v>17</v>
      </c>
      <c r="B28" s="176" t="s">
        <v>590</v>
      </c>
      <c r="C28" s="418" t="s">
        <v>591</v>
      </c>
      <c r="D28" s="176" t="s">
        <v>487</v>
      </c>
      <c r="E28" s="408">
        <v>1</v>
      </c>
      <c r="F28" s="325">
        <v>4.0999999999999996</v>
      </c>
      <c r="G28" s="408">
        <v>1</v>
      </c>
      <c r="H28" s="408">
        <v>4.0999999999999996</v>
      </c>
      <c r="I28" s="241"/>
      <c r="J28" s="374"/>
      <c r="K28" s="176"/>
      <c r="L28" s="176"/>
      <c r="M28" s="406"/>
      <c r="N28" s="241">
        <v>1</v>
      </c>
      <c r="O28" s="241">
        <v>4.0999999999999996</v>
      </c>
    </row>
    <row r="29" spans="1:15" ht="17.25" customHeight="1">
      <c r="A29" s="406">
        <v>18</v>
      </c>
      <c r="B29" s="176" t="s">
        <v>592</v>
      </c>
      <c r="C29" s="407" t="s">
        <v>593</v>
      </c>
      <c r="D29" s="176" t="s">
        <v>487</v>
      </c>
      <c r="E29" s="408">
        <v>1</v>
      </c>
      <c r="F29" s="325">
        <v>6.1</v>
      </c>
      <c r="G29" s="408"/>
      <c r="H29" s="408"/>
      <c r="I29" s="241"/>
      <c r="J29" s="374"/>
      <c r="K29" s="176"/>
      <c r="L29" s="176"/>
      <c r="M29" s="410" t="s">
        <v>594</v>
      </c>
      <c r="N29" s="411"/>
      <c r="O29" s="411"/>
    </row>
    <row r="30" spans="1:15" ht="17.25" customHeight="1">
      <c r="A30" s="406">
        <v>19</v>
      </c>
      <c r="B30" s="176" t="s">
        <v>595</v>
      </c>
      <c r="C30" s="415" t="s">
        <v>596</v>
      </c>
      <c r="D30" s="176" t="s">
        <v>487</v>
      </c>
      <c r="E30" s="408">
        <v>1</v>
      </c>
      <c r="F30" s="323">
        <v>3.2</v>
      </c>
      <c r="G30" s="408"/>
      <c r="H30" s="408"/>
      <c r="I30" s="241">
        <v>1</v>
      </c>
      <c r="J30" s="373">
        <v>3.2</v>
      </c>
      <c r="K30" s="176"/>
      <c r="L30" s="176"/>
      <c r="M30" s="413"/>
      <c r="N30" s="411"/>
      <c r="O30" s="411"/>
    </row>
    <row r="31" spans="1:15" ht="17.25" customHeight="1">
      <c r="A31" s="406">
        <v>20</v>
      </c>
      <c r="B31" s="176" t="s">
        <v>597</v>
      </c>
      <c r="C31" s="415" t="s">
        <v>598</v>
      </c>
      <c r="D31" s="176" t="s">
        <v>487</v>
      </c>
      <c r="E31" s="408">
        <v>1</v>
      </c>
      <c r="F31" s="323">
        <v>4</v>
      </c>
      <c r="G31" s="408">
        <v>1</v>
      </c>
      <c r="H31" s="323">
        <v>4</v>
      </c>
      <c r="I31" s="241"/>
      <c r="J31" s="373"/>
      <c r="K31" s="176"/>
      <c r="L31" s="176"/>
      <c r="M31" s="406"/>
      <c r="N31" s="241">
        <v>1</v>
      </c>
      <c r="O31" s="409">
        <v>4</v>
      </c>
    </row>
    <row r="32" spans="1:15" ht="17.25" customHeight="1">
      <c r="A32" s="406">
        <v>21</v>
      </c>
      <c r="B32" s="176" t="s">
        <v>599</v>
      </c>
      <c r="C32" s="415" t="s">
        <v>600</v>
      </c>
      <c r="D32" s="176" t="s">
        <v>487</v>
      </c>
      <c r="E32" s="408">
        <v>1</v>
      </c>
      <c r="F32" s="323">
        <v>8</v>
      </c>
      <c r="G32" s="408">
        <v>1</v>
      </c>
      <c r="H32" s="323">
        <v>8</v>
      </c>
      <c r="I32" s="241"/>
      <c r="J32" s="373"/>
      <c r="K32" s="176"/>
      <c r="L32" s="176"/>
      <c r="M32" s="413"/>
      <c r="N32" s="241">
        <v>1</v>
      </c>
      <c r="O32" s="409">
        <v>8</v>
      </c>
    </row>
    <row r="33" spans="1:15" ht="17.25" customHeight="1">
      <c r="A33" s="406">
        <v>22</v>
      </c>
      <c r="B33" s="176" t="s">
        <v>601</v>
      </c>
      <c r="C33" s="415" t="s">
        <v>602</v>
      </c>
      <c r="D33" s="176" t="s">
        <v>487</v>
      </c>
      <c r="E33" s="408">
        <v>1</v>
      </c>
      <c r="F33" s="323">
        <v>12.7</v>
      </c>
      <c r="G33" s="408">
        <v>1</v>
      </c>
      <c r="H33" s="323">
        <v>12.7</v>
      </c>
      <c r="I33" s="241"/>
      <c r="J33" s="373"/>
      <c r="K33" s="176"/>
      <c r="L33" s="176"/>
      <c r="M33" s="413"/>
      <c r="N33" s="241">
        <v>1</v>
      </c>
      <c r="O33" s="409">
        <v>12.7</v>
      </c>
    </row>
    <row r="34" spans="1:15" ht="17.25" customHeight="1">
      <c r="A34" s="406">
        <v>23</v>
      </c>
      <c r="B34" s="176" t="s">
        <v>603</v>
      </c>
      <c r="C34" s="415" t="s">
        <v>604</v>
      </c>
      <c r="D34" s="176" t="s">
        <v>487</v>
      </c>
      <c r="E34" s="408">
        <v>1</v>
      </c>
      <c r="F34" s="323">
        <v>3.4</v>
      </c>
      <c r="G34" s="408">
        <v>1</v>
      </c>
      <c r="H34" s="323">
        <v>3.4</v>
      </c>
      <c r="I34" s="241"/>
      <c r="J34" s="373"/>
      <c r="K34" s="419"/>
      <c r="L34" s="420"/>
      <c r="M34" s="412"/>
      <c r="N34" s="241">
        <v>1</v>
      </c>
      <c r="O34" s="409">
        <v>3.4</v>
      </c>
    </row>
    <row r="35" spans="1:15" ht="17.25" customHeight="1">
      <c r="A35" s="406">
        <v>24</v>
      </c>
      <c r="B35" s="176" t="s">
        <v>605</v>
      </c>
      <c r="C35" s="415" t="s">
        <v>606</v>
      </c>
      <c r="D35" s="176" t="s">
        <v>487</v>
      </c>
      <c r="E35" s="408">
        <v>1</v>
      </c>
      <c r="F35" s="323">
        <v>3.4</v>
      </c>
      <c r="G35" s="408">
        <v>1</v>
      </c>
      <c r="H35" s="323">
        <v>3.4</v>
      </c>
      <c r="I35" s="241"/>
      <c r="J35" s="373"/>
      <c r="K35" s="176"/>
      <c r="L35" s="176"/>
      <c r="M35" s="406" t="s">
        <v>594</v>
      </c>
      <c r="N35" s="241"/>
      <c r="O35" s="409"/>
    </row>
    <row r="36" spans="1:15" ht="17.25" customHeight="1">
      <c r="A36" s="406">
        <v>25</v>
      </c>
      <c r="B36" s="176" t="s">
        <v>607</v>
      </c>
      <c r="C36" s="415" t="s">
        <v>608</v>
      </c>
      <c r="D36" s="176" t="s">
        <v>487</v>
      </c>
      <c r="E36" s="408">
        <v>1</v>
      </c>
      <c r="F36" s="323">
        <v>3.1</v>
      </c>
      <c r="G36" s="408"/>
      <c r="H36" s="408"/>
      <c r="I36" s="241"/>
      <c r="J36" s="373"/>
      <c r="K36" s="176"/>
      <c r="L36" s="176"/>
      <c r="M36" s="406" t="s">
        <v>594</v>
      </c>
      <c r="N36" s="411"/>
      <c r="O36" s="411"/>
    </row>
    <row r="37" spans="1:15" ht="17.25" customHeight="1">
      <c r="A37" s="406">
        <v>26</v>
      </c>
      <c r="B37" s="176" t="s">
        <v>609</v>
      </c>
      <c r="C37" s="415" t="s">
        <v>610</v>
      </c>
      <c r="D37" s="176" t="s">
        <v>487</v>
      </c>
      <c r="E37" s="408">
        <v>1</v>
      </c>
      <c r="F37" s="323">
        <v>5.5</v>
      </c>
      <c r="G37" s="408">
        <v>1</v>
      </c>
      <c r="H37" s="323">
        <v>5.5</v>
      </c>
      <c r="I37" s="241"/>
      <c r="J37" s="373"/>
      <c r="K37" s="176"/>
      <c r="L37" s="176"/>
      <c r="M37" s="413"/>
      <c r="N37" s="241">
        <v>1</v>
      </c>
      <c r="O37" s="409">
        <v>5.5</v>
      </c>
    </row>
    <row r="38" spans="1:15" ht="17.25" customHeight="1">
      <c r="A38" s="406">
        <v>27</v>
      </c>
      <c r="B38" s="176" t="s">
        <v>611</v>
      </c>
      <c r="C38" s="415" t="s">
        <v>612</v>
      </c>
      <c r="D38" s="176" t="s">
        <v>487</v>
      </c>
      <c r="E38" s="408">
        <v>1</v>
      </c>
      <c r="F38" s="323">
        <v>2.7</v>
      </c>
      <c r="G38" s="408">
        <v>1</v>
      </c>
      <c r="H38" s="323">
        <v>2.7</v>
      </c>
      <c r="I38" s="241"/>
      <c r="J38" s="373"/>
      <c r="K38" s="176"/>
      <c r="L38" s="176"/>
      <c r="M38" s="406"/>
      <c r="N38" s="241">
        <v>1</v>
      </c>
      <c r="O38" s="409">
        <v>2.7</v>
      </c>
    </row>
    <row r="39" spans="1:15" ht="17.25" customHeight="1">
      <c r="A39" s="406">
        <v>28</v>
      </c>
      <c r="B39" s="176" t="s">
        <v>613</v>
      </c>
      <c r="C39" s="415" t="s">
        <v>614</v>
      </c>
      <c r="D39" s="176" t="s">
        <v>487</v>
      </c>
      <c r="E39" s="408">
        <v>1</v>
      </c>
      <c r="F39" s="323">
        <v>3.2</v>
      </c>
      <c r="G39" s="408">
        <v>1</v>
      </c>
      <c r="H39" s="323">
        <v>3.2</v>
      </c>
      <c r="I39" s="241"/>
      <c r="J39" s="373"/>
      <c r="K39" s="176"/>
      <c r="L39" s="176"/>
      <c r="M39" s="412"/>
      <c r="N39" s="241">
        <v>1</v>
      </c>
      <c r="O39" s="409">
        <v>3.2</v>
      </c>
    </row>
    <row r="40" spans="1:15" ht="17.25" customHeight="1">
      <c r="A40" s="406">
        <v>29</v>
      </c>
      <c r="B40" s="176" t="s">
        <v>615</v>
      </c>
      <c r="C40" s="421" t="s">
        <v>616</v>
      </c>
      <c r="D40" s="176" t="s">
        <v>487</v>
      </c>
      <c r="E40" s="408">
        <v>1</v>
      </c>
      <c r="F40" s="422">
        <v>4.5</v>
      </c>
      <c r="G40" s="408">
        <v>1</v>
      </c>
      <c r="H40" s="422">
        <v>4.5</v>
      </c>
      <c r="I40" s="241"/>
      <c r="J40" s="414"/>
      <c r="K40" s="176"/>
      <c r="L40" s="176"/>
      <c r="M40" s="413"/>
      <c r="N40" s="241">
        <v>1</v>
      </c>
      <c r="O40" s="411">
        <v>4.5</v>
      </c>
    </row>
    <row r="41" spans="1:15" ht="17.25" customHeight="1">
      <c r="A41" s="406">
        <v>30</v>
      </c>
      <c r="B41" s="176" t="s">
        <v>617</v>
      </c>
      <c r="C41" s="421" t="s">
        <v>618</v>
      </c>
      <c r="D41" s="176" t="s">
        <v>487</v>
      </c>
      <c r="E41" s="408">
        <v>1</v>
      </c>
      <c r="F41" s="422">
        <v>6.7</v>
      </c>
      <c r="G41" s="408">
        <v>1</v>
      </c>
      <c r="H41" s="422">
        <v>6.7</v>
      </c>
      <c r="I41" s="241"/>
      <c r="J41" s="414"/>
      <c r="K41" s="176"/>
      <c r="L41" s="176"/>
      <c r="M41" s="406"/>
      <c r="N41" s="241">
        <v>1</v>
      </c>
      <c r="O41" s="411">
        <v>6.7</v>
      </c>
    </row>
    <row r="42" spans="1:15" ht="17.25" customHeight="1">
      <c r="A42" s="406">
        <v>31</v>
      </c>
      <c r="B42" s="176" t="s">
        <v>619</v>
      </c>
      <c r="C42" s="421" t="s">
        <v>620</v>
      </c>
      <c r="D42" s="176" t="s">
        <v>487</v>
      </c>
      <c r="E42" s="408">
        <v>1</v>
      </c>
      <c r="F42" s="422">
        <v>4.5</v>
      </c>
      <c r="G42" s="408">
        <v>1</v>
      </c>
      <c r="H42" s="422">
        <v>4.5</v>
      </c>
      <c r="I42" s="241"/>
      <c r="J42" s="414"/>
      <c r="K42" s="176"/>
      <c r="L42" s="176"/>
      <c r="M42" s="406"/>
      <c r="N42" s="241">
        <v>1</v>
      </c>
      <c r="O42" s="411">
        <v>4.5</v>
      </c>
    </row>
    <row r="43" spans="1:15" ht="17.25" customHeight="1">
      <c r="A43" s="406">
        <v>32</v>
      </c>
      <c r="B43" s="176" t="s">
        <v>621</v>
      </c>
      <c r="C43" s="421" t="s">
        <v>622</v>
      </c>
      <c r="D43" s="176" t="s">
        <v>487</v>
      </c>
      <c r="E43" s="408">
        <v>1</v>
      </c>
      <c r="F43" s="422">
        <v>8.1</v>
      </c>
      <c r="G43" s="408">
        <v>1</v>
      </c>
      <c r="H43" s="422">
        <v>8.1</v>
      </c>
      <c r="I43" s="241"/>
      <c r="J43" s="414"/>
      <c r="K43" s="176"/>
      <c r="L43" s="176"/>
      <c r="M43" s="406"/>
      <c r="N43" s="241">
        <v>1</v>
      </c>
      <c r="O43" s="411">
        <v>8.1</v>
      </c>
    </row>
    <row r="44" spans="1:15" ht="17.25" customHeight="1">
      <c r="A44" s="406">
        <v>33</v>
      </c>
      <c r="B44" s="176" t="s">
        <v>623</v>
      </c>
      <c r="C44" s="421" t="s">
        <v>624</v>
      </c>
      <c r="D44" s="176" t="s">
        <v>487</v>
      </c>
      <c r="E44" s="408">
        <v>1</v>
      </c>
      <c r="F44" s="422">
        <v>4.9000000000000004</v>
      </c>
      <c r="G44" s="408"/>
      <c r="H44" s="408"/>
      <c r="I44" s="241"/>
      <c r="J44" s="414"/>
      <c r="K44" s="176"/>
      <c r="L44" s="176"/>
      <c r="M44" s="410" t="s">
        <v>594</v>
      </c>
      <c r="N44" s="241"/>
      <c r="O44" s="241"/>
    </row>
    <row r="45" spans="1:15" ht="17.25" customHeight="1">
      <c r="A45" s="406">
        <v>34</v>
      </c>
      <c r="B45" s="176" t="s">
        <v>625</v>
      </c>
      <c r="C45" s="421" t="s">
        <v>626</v>
      </c>
      <c r="D45" s="176" t="s">
        <v>487</v>
      </c>
      <c r="E45" s="241">
        <v>1</v>
      </c>
      <c r="F45" s="414">
        <v>1.9</v>
      </c>
      <c r="G45" s="241">
        <v>1</v>
      </c>
      <c r="H45" s="414">
        <v>1.9</v>
      </c>
      <c r="I45" s="241"/>
      <c r="J45" s="414"/>
      <c r="K45" s="176"/>
      <c r="L45" s="176"/>
      <c r="M45" s="406"/>
      <c r="N45" s="241">
        <v>1</v>
      </c>
      <c r="O45" s="411">
        <v>1.9</v>
      </c>
    </row>
    <row r="46" spans="1:15" ht="17.25" customHeight="1">
      <c r="A46" s="423">
        <v>35</v>
      </c>
      <c r="B46" s="424" t="s">
        <v>883</v>
      </c>
      <c r="C46" s="425" t="s">
        <v>630</v>
      </c>
      <c r="D46" s="176" t="s">
        <v>487</v>
      </c>
      <c r="E46" s="241">
        <v>1</v>
      </c>
      <c r="F46" s="411">
        <v>8.5</v>
      </c>
      <c r="G46" s="241"/>
      <c r="H46" s="241"/>
      <c r="I46" s="241"/>
      <c r="J46" s="411"/>
      <c r="K46" s="176"/>
      <c r="L46" s="176"/>
      <c r="M46" s="426" t="s">
        <v>631</v>
      </c>
      <c r="N46" s="241"/>
      <c r="O46" s="241"/>
    </row>
    <row r="47" spans="1:15" ht="17.25" customHeight="1">
      <c r="A47" s="423">
        <v>36</v>
      </c>
      <c r="B47" s="425" t="s">
        <v>632</v>
      </c>
      <c r="C47" s="425" t="s">
        <v>633</v>
      </c>
      <c r="D47" s="176" t="s">
        <v>487</v>
      </c>
      <c r="E47" s="241">
        <v>1</v>
      </c>
      <c r="F47" s="411">
        <v>5.4</v>
      </c>
      <c r="G47" s="241">
        <v>1</v>
      </c>
      <c r="H47" s="411">
        <v>5.4</v>
      </c>
      <c r="I47" s="241"/>
      <c r="J47" s="411"/>
      <c r="K47" s="176"/>
      <c r="L47" s="176"/>
      <c r="M47" s="423"/>
      <c r="N47" s="241">
        <v>1</v>
      </c>
      <c r="O47" s="411">
        <v>5.4</v>
      </c>
    </row>
    <row r="48" spans="1:15" ht="17.25" customHeight="1">
      <c r="A48" s="427">
        <v>37</v>
      </c>
      <c r="B48" s="424" t="s">
        <v>634</v>
      </c>
      <c r="C48" s="424" t="s">
        <v>635</v>
      </c>
      <c r="D48" s="176" t="s">
        <v>487</v>
      </c>
      <c r="E48" s="241">
        <v>1</v>
      </c>
      <c r="F48" s="411">
        <v>6.7</v>
      </c>
      <c r="G48" s="241"/>
      <c r="H48" s="241"/>
      <c r="I48" s="241"/>
      <c r="J48" s="411"/>
      <c r="K48" s="176"/>
      <c r="L48" s="176"/>
      <c r="M48" s="426" t="s">
        <v>631</v>
      </c>
      <c r="N48" s="241"/>
      <c r="O48" s="241"/>
    </row>
    <row r="49" spans="1:15" ht="17.25" customHeight="1">
      <c r="A49" s="423">
        <v>38</v>
      </c>
      <c r="B49" s="425" t="s">
        <v>636</v>
      </c>
      <c r="C49" s="425" t="s">
        <v>637</v>
      </c>
      <c r="D49" s="176" t="s">
        <v>487</v>
      </c>
      <c r="E49" s="241">
        <v>1</v>
      </c>
      <c r="F49" s="411">
        <v>4.2</v>
      </c>
      <c r="G49" s="241">
        <v>1</v>
      </c>
      <c r="H49" s="411">
        <v>4.2</v>
      </c>
      <c r="I49" s="241"/>
      <c r="J49" s="411"/>
      <c r="K49" s="176"/>
      <c r="L49" s="176"/>
      <c r="M49" s="423"/>
      <c r="N49" s="241">
        <v>1</v>
      </c>
      <c r="O49" s="411">
        <v>4.2</v>
      </c>
    </row>
    <row r="50" spans="1:15" ht="17.25" customHeight="1">
      <c r="A50" s="423">
        <v>39</v>
      </c>
      <c r="B50" s="425" t="s">
        <v>638</v>
      </c>
      <c r="C50" s="425" t="s">
        <v>639</v>
      </c>
      <c r="D50" s="176" t="s">
        <v>487</v>
      </c>
      <c r="E50" s="241">
        <v>1</v>
      </c>
      <c r="F50" s="411">
        <v>3.4</v>
      </c>
      <c r="G50" s="241">
        <v>1</v>
      </c>
      <c r="H50" s="411">
        <v>3.4</v>
      </c>
      <c r="I50" s="241"/>
      <c r="J50" s="411"/>
      <c r="K50" s="176"/>
      <c r="L50" s="176"/>
      <c r="M50" s="423"/>
      <c r="N50" s="241">
        <v>1</v>
      </c>
      <c r="O50" s="411">
        <v>3.4</v>
      </c>
    </row>
    <row r="51" spans="1:15" ht="17.25" customHeight="1">
      <c r="A51" s="423">
        <v>40</v>
      </c>
      <c r="B51" s="425" t="s">
        <v>640</v>
      </c>
      <c r="C51" s="425" t="s">
        <v>641</v>
      </c>
      <c r="D51" s="176" t="s">
        <v>487</v>
      </c>
      <c r="E51" s="241">
        <v>1</v>
      </c>
      <c r="F51" s="411">
        <v>6.5</v>
      </c>
      <c r="G51" s="241">
        <v>1</v>
      </c>
      <c r="H51" s="411">
        <v>6.5</v>
      </c>
      <c r="I51" s="241"/>
      <c r="J51" s="411"/>
      <c r="K51" s="176"/>
      <c r="L51" s="176"/>
      <c r="M51" s="423"/>
      <c r="N51" s="241">
        <v>1</v>
      </c>
      <c r="O51" s="411">
        <v>6.5</v>
      </c>
    </row>
    <row r="52" spans="1:15" ht="17.25" customHeight="1">
      <c r="A52" s="423">
        <v>41</v>
      </c>
      <c r="B52" s="425" t="s">
        <v>642</v>
      </c>
      <c r="C52" s="425" t="s">
        <v>643</v>
      </c>
      <c r="D52" s="176" t="s">
        <v>487</v>
      </c>
      <c r="E52" s="241">
        <v>1</v>
      </c>
      <c r="F52" s="411">
        <v>3.4</v>
      </c>
      <c r="G52" s="241"/>
      <c r="H52" s="241"/>
      <c r="I52" s="241"/>
      <c r="J52" s="411"/>
      <c r="K52" s="176"/>
      <c r="L52" s="176"/>
      <c r="M52" s="423" t="s">
        <v>644</v>
      </c>
      <c r="N52" s="241"/>
      <c r="O52" s="241"/>
    </row>
    <row r="53" spans="1:15" ht="17.25" customHeight="1">
      <c r="A53" s="423">
        <v>42</v>
      </c>
      <c r="B53" s="425" t="s">
        <v>645</v>
      </c>
      <c r="C53" s="425" t="s">
        <v>646</v>
      </c>
      <c r="D53" s="176" t="s">
        <v>487</v>
      </c>
      <c r="E53" s="241">
        <v>1</v>
      </c>
      <c r="F53" s="411">
        <v>23.6</v>
      </c>
      <c r="G53" s="241">
        <v>1</v>
      </c>
      <c r="H53" s="411">
        <v>23.6</v>
      </c>
      <c r="I53" s="241"/>
      <c r="J53" s="411"/>
      <c r="K53" s="176"/>
      <c r="L53" s="176"/>
      <c r="M53" s="423"/>
      <c r="N53" s="241">
        <v>1</v>
      </c>
      <c r="O53" s="411">
        <v>23.6</v>
      </c>
    </row>
    <row r="54" spans="1:15" ht="17.25" customHeight="1">
      <c r="A54" s="423">
        <v>43</v>
      </c>
      <c r="B54" s="425" t="s">
        <v>647</v>
      </c>
      <c r="C54" s="425" t="s">
        <v>648</v>
      </c>
      <c r="D54" s="176" t="s">
        <v>487</v>
      </c>
      <c r="E54" s="241">
        <v>1</v>
      </c>
      <c r="F54" s="411">
        <v>13.2</v>
      </c>
      <c r="G54" s="241"/>
      <c r="H54" s="241"/>
      <c r="I54" s="241"/>
      <c r="J54" s="411"/>
      <c r="K54" s="176"/>
      <c r="L54" s="176"/>
      <c r="M54" s="410" t="s">
        <v>570</v>
      </c>
      <c r="N54" s="241"/>
      <c r="O54" s="241"/>
    </row>
    <row r="55" spans="1:15" ht="17.25" customHeight="1">
      <c r="A55" s="427">
        <v>44</v>
      </c>
      <c r="B55" s="424" t="s">
        <v>649</v>
      </c>
      <c r="C55" s="424" t="s">
        <v>650</v>
      </c>
      <c r="D55" s="176" t="s">
        <v>487</v>
      </c>
      <c r="E55" s="241">
        <v>1</v>
      </c>
      <c r="F55" s="411">
        <v>3.6</v>
      </c>
      <c r="G55" s="241"/>
      <c r="H55" s="241"/>
      <c r="I55" s="241"/>
      <c r="J55" s="411"/>
      <c r="K55" s="176"/>
      <c r="L55" s="176"/>
      <c r="M55" s="426" t="s">
        <v>631</v>
      </c>
      <c r="N55" s="241"/>
      <c r="O55" s="241"/>
    </row>
    <row r="56" spans="1:15" ht="17.25" customHeight="1">
      <c r="A56" s="423">
        <v>45</v>
      </c>
      <c r="B56" s="425" t="s">
        <v>651</v>
      </c>
      <c r="C56" s="425" t="s">
        <v>652</v>
      </c>
      <c r="D56" s="176" t="s">
        <v>487</v>
      </c>
      <c r="E56" s="241">
        <v>1</v>
      </c>
      <c r="F56" s="411">
        <v>6.8</v>
      </c>
      <c r="G56" s="241"/>
      <c r="H56" s="241"/>
      <c r="I56" s="241"/>
      <c r="J56" s="411"/>
      <c r="K56" s="176"/>
      <c r="L56" s="176"/>
      <c r="M56" s="426" t="s">
        <v>631</v>
      </c>
      <c r="N56" s="241"/>
      <c r="O56" s="241"/>
    </row>
    <row r="57" spans="1:15" ht="17.25" customHeight="1">
      <c r="A57" s="423">
        <v>46</v>
      </c>
      <c r="B57" s="425" t="s">
        <v>653</v>
      </c>
      <c r="C57" s="425" t="s">
        <v>654</v>
      </c>
      <c r="D57" s="176" t="s">
        <v>487</v>
      </c>
      <c r="E57" s="241">
        <v>1</v>
      </c>
      <c r="F57" s="411">
        <v>6.5</v>
      </c>
      <c r="G57" s="241">
        <v>1</v>
      </c>
      <c r="H57" s="411">
        <v>6.5</v>
      </c>
      <c r="I57" s="241"/>
      <c r="J57" s="411"/>
      <c r="K57" s="176"/>
      <c r="L57" s="176"/>
      <c r="M57" s="423"/>
      <c r="N57" s="241">
        <v>1</v>
      </c>
      <c r="O57" s="411">
        <v>6.5</v>
      </c>
    </row>
    <row r="58" spans="1:15" ht="17.25" customHeight="1">
      <c r="A58" s="423">
        <v>47</v>
      </c>
      <c r="B58" s="424" t="s">
        <v>655</v>
      </c>
      <c r="C58" s="424" t="s">
        <v>656</v>
      </c>
      <c r="D58" s="176" t="s">
        <v>487</v>
      </c>
      <c r="E58" s="241">
        <v>1</v>
      </c>
      <c r="F58" s="411">
        <v>4.7</v>
      </c>
      <c r="G58" s="241"/>
      <c r="H58" s="241"/>
      <c r="I58" s="241"/>
      <c r="J58" s="411"/>
      <c r="K58" s="176"/>
      <c r="L58" s="176"/>
      <c r="M58" s="426" t="s">
        <v>631</v>
      </c>
      <c r="N58" s="241"/>
      <c r="O58" s="241"/>
    </row>
    <row r="59" spans="1:15" ht="17.25" customHeight="1">
      <c r="A59" s="423">
        <v>48</v>
      </c>
      <c r="B59" s="424" t="s">
        <v>657</v>
      </c>
      <c r="C59" s="424" t="s">
        <v>658</v>
      </c>
      <c r="D59" s="176" t="s">
        <v>487</v>
      </c>
      <c r="E59" s="241">
        <v>1</v>
      </c>
      <c r="F59" s="411">
        <v>4.4000000000000004</v>
      </c>
      <c r="G59" s="241">
        <v>1</v>
      </c>
      <c r="H59" s="411">
        <v>4.4000000000000004</v>
      </c>
      <c r="I59" s="241"/>
      <c r="J59" s="411"/>
      <c r="K59" s="176"/>
      <c r="L59" s="176"/>
      <c r="M59" s="423"/>
      <c r="N59" s="241">
        <v>1</v>
      </c>
      <c r="O59" s="411">
        <v>4.4000000000000004</v>
      </c>
    </row>
    <row r="60" spans="1:15" ht="17.25" customHeight="1">
      <c r="A60" s="423">
        <v>49</v>
      </c>
      <c r="B60" s="424" t="s">
        <v>659</v>
      </c>
      <c r="C60" s="424" t="s">
        <v>660</v>
      </c>
      <c r="D60" s="176" t="s">
        <v>487</v>
      </c>
      <c r="E60" s="241">
        <v>1</v>
      </c>
      <c r="F60" s="241">
        <v>4.8</v>
      </c>
      <c r="G60" s="241">
        <v>1</v>
      </c>
      <c r="H60" s="241">
        <v>4.8</v>
      </c>
      <c r="I60" s="241"/>
      <c r="J60" s="241"/>
      <c r="K60" s="176"/>
      <c r="L60" s="176"/>
      <c r="M60" s="428" t="s">
        <v>594</v>
      </c>
      <c r="N60" s="241"/>
      <c r="O60" s="241"/>
    </row>
    <row r="61" spans="1:15" ht="17.25" customHeight="1">
      <c r="A61" s="423">
        <v>50</v>
      </c>
      <c r="B61" s="424" t="s">
        <v>661</v>
      </c>
      <c r="C61" s="424" t="s">
        <v>662</v>
      </c>
      <c r="D61" s="176" t="s">
        <v>487</v>
      </c>
      <c r="E61" s="241">
        <v>1</v>
      </c>
      <c r="F61" s="241">
        <v>10.3</v>
      </c>
      <c r="G61" s="241"/>
      <c r="H61" s="241"/>
      <c r="I61" s="241"/>
      <c r="J61" s="241"/>
      <c r="K61" s="176"/>
      <c r="L61" s="176"/>
      <c r="M61" s="426" t="s">
        <v>663</v>
      </c>
      <c r="N61" s="411"/>
      <c r="O61" s="411"/>
    </row>
    <row r="62" spans="1:15" ht="17.25" customHeight="1">
      <c r="A62" s="423">
        <v>51</v>
      </c>
      <c r="B62" s="424" t="s">
        <v>664</v>
      </c>
      <c r="C62" s="424" t="s">
        <v>665</v>
      </c>
      <c r="D62" s="176" t="s">
        <v>487</v>
      </c>
      <c r="E62" s="241">
        <v>1</v>
      </c>
      <c r="F62" s="241">
        <v>10.5</v>
      </c>
      <c r="G62" s="241"/>
      <c r="H62" s="241"/>
      <c r="I62" s="241"/>
      <c r="J62" s="241"/>
      <c r="K62" s="176"/>
      <c r="L62" s="176"/>
      <c r="M62" s="426" t="s">
        <v>663</v>
      </c>
      <c r="N62" s="411"/>
      <c r="O62" s="411"/>
    </row>
    <row r="63" spans="1:15" ht="17.25" customHeight="1">
      <c r="A63" s="423">
        <v>52</v>
      </c>
      <c r="B63" s="424" t="s">
        <v>666</v>
      </c>
      <c r="C63" s="424" t="s">
        <v>667</v>
      </c>
      <c r="D63" s="176" t="s">
        <v>487</v>
      </c>
      <c r="E63" s="241">
        <v>1</v>
      </c>
      <c r="F63" s="241">
        <v>11</v>
      </c>
      <c r="G63" s="241"/>
      <c r="H63" s="241"/>
      <c r="I63" s="241"/>
      <c r="J63" s="241"/>
      <c r="K63" s="176"/>
      <c r="L63" s="176"/>
      <c r="M63" s="426" t="s">
        <v>631</v>
      </c>
      <c r="N63" s="411"/>
      <c r="O63" s="411"/>
    </row>
    <row r="64" spans="1:15" ht="17.25" customHeight="1">
      <c r="A64" s="423">
        <v>53</v>
      </c>
      <c r="B64" s="424" t="s">
        <v>668</v>
      </c>
      <c r="C64" s="424" t="s">
        <v>669</v>
      </c>
      <c r="D64" s="176" t="s">
        <v>487</v>
      </c>
      <c r="E64" s="241">
        <v>1</v>
      </c>
      <c r="F64" s="241">
        <v>5.3</v>
      </c>
      <c r="G64" s="241"/>
      <c r="H64" s="241"/>
      <c r="I64" s="241"/>
      <c r="J64" s="241"/>
      <c r="K64" s="176"/>
      <c r="L64" s="176"/>
      <c r="M64" s="426" t="s">
        <v>631</v>
      </c>
      <c r="N64" s="411"/>
      <c r="O64" s="411"/>
    </row>
    <row r="65" spans="1:15" ht="17.25" customHeight="1">
      <c r="A65" s="423">
        <v>54</v>
      </c>
      <c r="B65" s="424" t="s">
        <v>670</v>
      </c>
      <c r="C65" s="424" t="s">
        <v>671</v>
      </c>
      <c r="D65" s="176" t="s">
        <v>487</v>
      </c>
      <c r="E65" s="241">
        <v>1</v>
      </c>
      <c r="F65" s="241">
        <v>13.6</v>
      </c>
      <c r="G65" s="241"/>
      <c r="H65" s="241"/>
      <c r="I65" s="241"/>
      <c r="J65" s="241"/>
      <c r="K65" s="176"/>
      <c r="L65" s="176"/>
      <c r="M65" s="426" t="s">
        <v>631</v>
      </c>
      <c r="N65" s="411"/>
      <c r="O65" s="411"/>
    </row>
    <row r="66" spans="1:15" ht="17.25" customHeight="1">
      <c r="A66" s="423">
        <v>55</v>
      </c>
      <c r="B66" s="424" t="s">
        <v>672</v>
      </c>
      <c r="C66" s="424" t="s">
        <v>673</v>
      </c>
      <c r="D66" s="176" t="s">
        <v>487</v>
      </c>
      <c r="E66" s="241">
        <v>1</v>
      </c>
      <c r="F66" s="241">
        <v>4</v>
      </c>
      <c r="G66" s="241"/>
      <c r="H66" s="241"/>
      <c r="I66" s="241"/>
      <c r="J66" s="241"/>
      <c r="K66" s="176"/>
      <c r="L66" s="176"/>
      <c r="M66" s="426" t="s">
        <v>631</v>
      </c>
      <c r="N66" s="411"/>
      <c r="O66" s="411"/>
    </row>
    <row r="67" spans="1:15" ht="17.25" customHeight="1">
      <c r="A67" s="423">
        <v>56</v>
      </c>
      <c r="B67" s="424" t="s">
        <v>674</v>
      </c>
      <c r="C67" s="424" t="s">
        <v>675</v>
      </c>
      <c r="D67" s="176" t="s">
        <v>487</v>
      </c>
      <c r="E67" s="241">
        <v>1</v>
      </c>
      <c r="F67" s="241">
        <v>7.7</v>
      </c>
      <c r="G67" s="241"/>
      <c r="H67" s="241"/>
      <c r="I67" s="241"/>
      <c r="J67" s="241"/>
      <c r="K67" s="176"/>
      <c r="L67" s="176"/>
      <c r="M67" s="426" t="s">
        <v>631</v>
      </c>
      <c r="N67" s="411"/>
      <c r="O67" s="411"/>
    </row>
    <row r="68" spans="1:15" ht="17.25" customHeight="1">
      <c r="A68" s="423">
        <v>57</v>
      </c>
      <c r="B68" s="424" t="s">
        <v>676</v>
      </c>
      <c r="C68" s="424" t="s">
        <v>677</v>
      </c>
      <c r="D68" s="176" t="s">
        <v>487</v>
      </c>
      <c r="E68" s="241">
        <v>1</v>
      </c>
      <c r="F68" s="241">
        <v>12.4</v>
      </c>
      <c r="G68" s="241"/>
      <c r="H68" s="241"/>
      <c r="I68" s="241"/>
      <c r="J68" s="241"/>
      <c r="K68" s="176"/>
      <c r="L68" s="176"/>
      <c r="M68" s="426" t="s">
        <v>631</v>
      </c>
      <c r="N68" s="411"/>
      <c r="O68" s="411"/>
    </row>
    <row r="69" spans="1:15" ht="17.25" customHeight="1">
      <c r="A69" s="423">
        <v>58</v>
      </c>
      <c r="B69" s="424" t="s">
        <v>678</v>
      </c>
      <c r="C69" s="424" t="s">
        <v>679</v>
      </c>
      <c r="D69" s="176" t="s">
        <v>487</v>
      </c>
      <c r="E69" s="241">
        <v>1</v>
      </c>
      <c r="F69" s="241">
        <v>3.4</v>
      </c>
      <c r="G69" s="241"/>
      <c r="H69" s="241"/>
      <c r="I69" s="241"/>
      <c r="J69" s="241"/>
      <c r="K69" s="176"/>
      <c r="L69" s="176"/>
      <c r="M69" s="426" t="s">
        <v>631</v>
      </c>
      <c r="N69" s="411"/>
      <c r="O69" s="411"/>
    </row>
    <row r="70" spans="1:15" ht="17.25" customHeight="1">
      <c r="A70" s="423">
        <v>59</v>
      </c>
      <c r="B70" s="424" t="s">
        <v>680</v>
      </c>
      <c r="C70" s="424" t="s">
        <v>681</v>
      </c>
      <c r="D70" s="176" t="s">
        <v>487</v>
      </c>
      <c r="E70" s="241">
        <v>1</v>
      </c>
      <c r="F70" s="241">
        <v>7.3</v>
      </c>
      <c r="G70" s="241"/>
      <c r="H70" s="241"/>
      <c r="I70" s="241"/>
      <c r="J70" s="241"/>
      <c r="K70" s="176"/>
      <c r="L70" s="176"/>
      <c r="M70" s="426" t="s">
        <v>631</v>
      </c>
      <c r="N70" s="411"/>
      <c r="O70" s="411"/>
    </row>
    <row r="71" spans="1:15" ht="17.25" customHeight="1">
      <c r="A71" s="423">
        <v>60</v>
      </c>
      <c r="B71" s="424" t="s">
        <v>682</v>
      </c>
      <c r="C71" s="424" t="s">
        <v>683</v>
      </c>
      <c r="D71" s="176" t="s">
        <v>487</v>
      </c>
      <c r="E71" s="241">
        <v>1</v>
      </c>
      <c r="F71" s="241">
        <v>5.5</v>
      </c>
      <c r="G71" s="241">
        <v>1</v>
      </c>
      <c r="H71" s="241">
        <v>5.5</v>
      </c>
      <c r="I71" s="241"/>
      <c r="J71" s="241"/>
      <c r="K71" s="176"/>
      <c r="L71" s="176"/>
      <c r="M71" s="428"/>
      <c r="N71" s="241">
        <v>1</v>
      </c>
      <c r="O71" s="241">
        <v>5.5</v>
      </c>
    </row>
    <row r="72" spans="1:15" ht="17.25" customHeight="1">
      <c r="A72" s="423">
        <v>61</v>
      </c>
      <c r="B72" s="424" t="s">
        <v>684</v>
      </c>
      <c r="C72" s="424" t="s">
        <v>685</v>
      </c>
      <c r="D72" s="176" t="s">
        <v>487</v>
      </c>
      <c r="E72" s="241">
        <v>1</v>
      </c>
      <c r="F72" s="241">
        <v>3.6</v>
      </c>
      <c r="G72" s="241">
        <v>1</v>
      </c>
      <c r="H72" s="241">
        <v>3.6</v>
      </c>
      <c r="I72" s="241"/>
      <c r="J72" s="241"/>
      <c r="K72" s="176"/>
      <c r="L72" s="176"/>
      <c r="M72" s="428"/>
      <c r="N72" s="241">
        <v>1</v>
      </c>
      <c r="O72" s="241">
        <v>3.6</v>
      </c>
    </row>
    <row r="73" spans="1:15" ht="17.25" customHeight="1">
      <c r="A73" s="423">
        <v>62</v>
      </c>
      <c r="B73" s="424" t="s">
        <v>686</v>
      </c>
      <c r="C73" s="424" t="s">
        <v>687</v>
      </c>
      <c r="D73" s="176" t="s">
        <v>487</v>
      </c>
      <c r="E73" s="241">
        <v>1</v>
      </c>
      <c r="F73" s="241">
        <v>3</v>
      </c>
      <c r="G73" s="241"/>
      <c r="H73" s="241"/>
      <c r="I73" s="241"/>
      <c r="J73" s="241"/>
      <c r="K73" s="176"/>
      <c r="L73" s="176"/>
      <c r="M73" s="426" t="s">
        <v>631</v>
      </c>
      <c r="N73" s="411"/>
      <c r="O73" s="411"/>
    </row>
    <row r="74" spans="1:15" ht="17.25" customHeight="1">
      <c r="A74" s="423">
        <v>63</v>
      </c>
      <c r="B74" s="424" t="s">
        <v>688</v>
      </c>
      <c r="C74" s="424" t="s">
        <v>689</v>
      </c>
      <c r="D74" s="176" t="s">
        <v>487</v>
      </c>
      <c r="E74" s="241">
        <v>1</v>
      </c>
      <c r="F74" s="241">
        <v>3.5</v>
      </c>
      <c r="G74" s="241"/>
      <c r="H74" s="241"/>
      <c r="I74" s="241">
        <v>1</v>
      </c>
      <c r="J74" s="241">
        <v>3.5</v>
      </c>
      <c r="K74" s="176"/>
      <c r="L74" s="176"/>
      <c r="M74" s="428"/>
      <c r="N74" s="411"/>
      <c r="O74" s="411"/>
    </row>
    <row r="75" spans="1:15" ht="17.25" customHeight="1">
      <c r="A75" s="423">
        <v>64</v>
      </c>
      <c r="B75" s="424" t="s">
        <v>690</v>
      </c>
      <c r="C75" s="424" t="s">
        <v>691</v>
      </c>
      <c r="D75" s="176" t="s">
        <v>487</v>
      </c>
      <c r="E75" s="241">
        <v>1</v>
      </c>
      <c r="F75" s="241">
        <v>3.1</v>
      </c>
      <c r="G75" s="241">
        <v>1</v>
      </c>
      <c r="H75" s="241">
        <v>3.1</v>
      </c>
      <c r="I75" s="241"/>
      <c r="J75" s="241"/>
      <c r="K75" s="176"/>
      <c r="L75" s="176"/>
      <c r="M75" s="428"/>
      <c r="N75" s="241">
        <v>1</v>
      </c>
      <c r="O75" s="241">
        <v>3.1</v>
      </c>
    </row>
    <row r="76" spans="1:15" ht="17.25" customHeight="1">
      <c r="A76" s="423">
        <v>65</v>
      </c>
      <c r="B76" s="424" t="s">
        <v>692</v>
      </c>
      <c r="C76" s="424" t="s">
        <v>693</v>
      </c>
      <c r="D76" s="176" t="s">
        <v>487</v>
      </c>
      <c r="E76" s="241">
        <v>1</v>
      </c>
      <c r="F76" s="241">
        <v>7.4</v>
      </c>
      <c r="G76" s="241">
        <v>1</v>
      </c>
      <c r="H76" s="241">
        <v>7.4</v>
      </c>
      <c r="I76" s="241"/>
      <c r="J76" s="241"/>
      <c r="K76" s="176"/>
      <c r="L76" s="176"/>
      <c r="M76" s="428"/>
      <c r="N76" s="241">
        <v>1</v>
      </c>
      <c r="O76" s="241">
        <v>7.4</v>
      </c>
    </row>
    <row r="77" spans="1:15" ht="17.25" customHeight="1">
      <c r="A77" s="423">
        <v>66</v>
      </c>
      <c r="B77" s="424" t="s">
        <v>694</v>
      </c>
      <c r="C77" s="424" t="s">
        <v>695</v>
      </c>
      <c r="D77" s="176" t="s">
        <v>487</v>
      </c>
      <c r="E77" s="241">
        <v>1</v>
      </c>
      <c r="F77" s="241">
        <v>5.3</v>
      </c>
      <c r="G77" s="241">
        <v>1</v>
      </c>
      <c r="H77" s="241">
        <v>5.3</v>
      </c>
      <c r="I77" s="241"/>
      <c r="J77" s="241"/>
      <c r="K77" s="176"/>
      <c r="L77" s="176"/>
      <c r="M77" s="428"/>
      <c r="N77" s="241">
        <v>1</v>
      </c>
      <c r="O77" s="241">
        <v>5.3</v>
      </c>
    </row>
    <row r="78" spans="1:15" ht="17.25" customHeight="1">
      <c r="A78" s="423">
        <v>67</v>
      </c>
      <c r="B78" s="424" t="s">
        <v>696</v>
      </c>
      <c r="C78" s="424" t="s">
        <v>697</v>
      </c>
      <c r="D78" s="176" t="s">
        <v>487</v>
      </c>
      <c r="E78" s="241">
        <v>1</v>
      </c>
      <c r="F78" s="241">
        <v>3.9</v>
      </c>
      <c r="G78" s="241"/>
      <c r="H78" s="241"/>
      <c r="I78" s="241"/>
      <c r="J78" s="241"/>
      <c r="K78" s="176"/>
      <c r="L78" s="176"/>
      <c r="M78" s="423" t="s">
        <v>594</v>
      </c>
      <c r="N78" s="411"/>
      <c r="O78" s="411"/>
    </row>
    <row r="79" spans="1:15" ht="17.25" customHeight="1">
      <c r="A79" s="423">
        <v>68</v>
      </c>
      <c r="B79" s="424" t="s">
        <v>698</v>
      </c>
      <c r="C79" s="424" t="s">
        <v>699</v>
      </c>
      <c r="D79" s="176" t="s">
        <v>487</v>
      </c>
      <c r="E79" s="241">
        <v>1</v>
      </c>
      <c r="F79" s="241">
        <v>9.1999999999999993</v>
      </c>
      <c r="G79" s="241">
        <v>1</v>
      </c>
      <c r="H79" s="241">
        <v>9.1999999999999993</v>
      </c>
      <c r="I79" s="241"/>
      <c r="J79" s="241"/>
      <c r="K79" s="176"/>
      <c r="L79" s="176"/>
      <c r="M79" s="428"/>
      <c r="N79" s="241">
        <v>1</v>
      </c>
      <c r="O79" s="241">
        <v>9.1999999999999993</v>
      </c>
    </row>
    <row r="80" spans="1:15" ht="17.25" customHeight="1">
      <c r="A80" s="423">
        <v>69</v>
      </c>
      <c r="B80" s="424" t="s">
        <v>700</v>
      </c>
      <c r="C80" s="424" t="s">
        <v>701</v>
      </c>
      <c r="D80" s="176" t="s">
        <v>487</v>
      </c>
      <c r="E80" s="241">
        <v>1</v>
      </c>
      <c r="F80" s="241">
        <v>3.9</v>
      </c>
      <c r="G80" s="241">
        <v>1</v>
      </c>
      <c r="H80" s="241">
        <v>3.9</v>
      </c>
      <c r="I80" s="241"/>
      <c r="J80" s="241"/>
      <c r="K80" s="176"/>
      <c r="L80" s="176"/>
      <c r="M80" s="428"/>
      <c r="N80" s="241">
        <v>1</v>
      </c>
      <c r="O80" s="241">
        <v>3.9</v>
      </c>
    </row>
    <row r="81" spans="1:15" ht="17.25" customHeight="1">
      <c r="A81" s="423">
        <v>70</v>
      </c>
      <c r="B81" s="429" t="s">
        <v>715</v>
      </c>
      <c r="C81" s="430" t="s">
        <v>716</v>
      </c>
      <c r="D81" s="176" t="s">
        <v>487</v>
      </c>
      <c r="E81" s="241">
        <v>1</v>
      </c>
      <c r="F81" s="414">
        <v>2.7</v>
      </c>
      <c r="G81" s="241"/>
      <c r="H81" s="241"/>
      <c r="I81" s="241"/>
      <c r="J81" s="241"/>
      <c r="K81" s="176"/>
      <c r="L81" s="176"/>
      <c r="M81" s="406" t="s">
        <v>594</v>
      </c>
      <c r="N81" s="411"/>
      <c r="O81" s="411"/>
    </row>
    <row r="82" spans="1:15" ht="17.25" customHeight="1">
      <c r="A82" s="423">
        <v>71</v>
      </c>
      <c r="B82" s="431" t="s">
        <v>717</v>
      </c>
      <c r="C82" s="432" t="s">
        <v>718</v>
      </c>
      <c r="D82" s="176" t="s">
        <v>487</v>
      </c>
      <c r="E82" s="241">
        <v>1</v>
      </c>
      <c r="F82" s="411">
        <v>6</v>
      </c>
      <c r="G82" s="241">
        <v>1</v>
      </c>
      <c r="H82" s="411">
        <v>6</v>
      </c>
      <c r="I82" s="241"/>
      <c r="J82" s="411"/>
      <c r="K82" s="176"/>
      <c r="L82" s="176"/>
      <c r="M82" s="406" t="s">
        <v>594</v>
      </c>
      <c r="N82" s="411"/>
      <c r="O82" s="411"/>
    </row>
    <row r="83" spans="1:15" ht="17.25" customHeight="1">
      <c r="A83" s="423">
        <v>72</v>
      </c>
      <c r="B83" s="433" t="s">
        <v>719</v>
      </c>
      <c r="C83" s="425" t="s">
        <v>720</v>
      </c>
      <c r="D83" s="176" t="s">
        <v>487</v>
      </c>
      <c r="E83" s="241">
        <v>1</v>
      </c>
      <c r="F83" s="411">
        <v>2.4</v>
      </c>
      <c r="G83" s="241"/>
      <c r="H83" s="241"/>
      <c r="I83" s="241"/>
      <c r="J83" s="241"/>
      <c r="K83" s="176"/>
      <c r="L83" s="176"/>
      <c r="M83" s="423" t="s">
        <v>594</v>
      </c>
      <c r="N83" s="411"/>
      <c r="O83" s="411"/>
    </row>
    <row r="84" spans="1:15" ht="17.25" customHeight="1">
      <c r="A84" s="423">
        <v>73</v>
      </c>
      <c r="B84" s="433" t="s">
        <v>721</v>
      </c>
      <c r="C84" s="425" t="s">
        <v>722</v>
      </c>
      <c r="D84" s="176" t="s">
        <v>487</v>
      </c>
      <c r="E84" s="241">
        <v>1</v>
      </c>
      <c r="F84" s="411">
        <v>2.7</v>
      </c>
      <c r="G84" s="241">
        <v>1</v>
      </c>
      <c r="H84" s="411">
        <v>2.7</v>
      </c>
      <c r="I84" s="241"/>
      <c r="J84" s="241"/>
      <c r="K84" s="176"/>
      <c r="L84" s="176"/>
      <c r="M84" s="428"/>
      <c r="N84" s="241">
        <v>1</v>
      </c>
      <c r="O84" s="411">
        <v>2.7</v>
      </c>
    </row>
    <row r="85" spans="1:15" ht="17.25" customHeight="1">
      <c r="A85" s="423">
        <v>74</v>
      </c>
      <c r="B85" s="434" t="s">
        <v>723</v>
      </c>
      <c r="C85" s="435" t="s">
        <v>724</v>
      </c>
      <c r="D85" s="176" t="s">
        <v>487</v>
      </c>
      <c r="E85" s="241">
        <v>1</v>
      </c>
      <c r="F85" s="414">
        <v>3.2</v>
      </c>
      <c r="G85" s="241"/>
      <c r="H85" s="241"/>
      <c r="I85" s="241">
        <v>1</v>
      </c>
      <c r="J85" s="414">
        <v>3.2</v>
      </c>
      <c r="K85" s="176"/>
      <c r="L85" s="176"/>
      <c r="M85" s="428"/>
      <c r="N85" s="411"/>
      <c r="O85" s="411"/>
    </row>
    <row r="86" spans="1:15" ht="17.25" customHeight="1">
      <c r="A86" s="423">
        <v>75</v>
      </c>
      <c r="B86" s="434" t="s">
        <v>725</v>
      </c>
      <c r="C86" s="435" t="s">
        <v>726</v>
      </c>
      <c r="D86" s="176" t="s">
        <v>487</v>
      </c>
      <c r="E86" s="241">
        <v>1</v>
      </c>
      <c r="F86" s="414">
        <v>5</v>
      </c>
      <c r="G86" s="241"/>
      <c r="H86" s="241"/>
      <c r="I86" s="241"/>
      <c r="J86" s="241"/>
      <c r="K86" s="176"/>
      <c r="L86" s="176"/>
      <c r="M86" s="406" t="s">
        <v>594</v>
      </c>
      <c r="N86" s="411"/>
      <c r="O86" s="411"/>
    </row>
    <row r="87" spans="1:15" ht="17.25" customHeight="1">
      <c r="A87" s="423">
        <v>76</v>
      </c>
      <c r="B87" s="434" t="s">
        <v>727</v>
      </c>
      <c r="C87" s="435" t="s">
        <v>728</v>
      </c>
      <c r="D87" s="176" t="s">
        <v>487</v>
      </c>
      <c r="E87" s="241">
        <v>1</v>
      </c>
      <c r="F87" s="414">
        <v>5.8</v>
      </c>
      <c r="G87" s="241">
        <v>1</v>
      </c>
      <c r="H87" s="414">
        <v>5.8</v>
      </c>
      <c r="I87" s="241"/>
      <c r="J87" s="241"/>
      <c r="K87" s="176"/>
      <c r="L87" s="176"/>
      <c r="M87" s="406" t="s">
        <v>594</v>
      </c>
      <c r="N87" s="241"/>
      <c r="O87" s="411"/>
    </row>
    <row r="88" spans="1:15" ht="17.25" customHeight="1">
      <c r="A88" s="423">
        <v>77</v>
      </c>
      <c r="B88" s="434" t="s">
        <v>729</v>
      </c>
      <c r="C88" s="435" t="s">
        <v>730</v>
      </c>
      <c r="D88" s="176" t="s">
        <v>487</v>
      </c>
      <c r="E88" s="241">
        <v>1</v>
      </c>
      <c r="F88" s="414">
        <v>3.5</v>
      </c>
      <c r="G88" s="241">
        <v>1</v>
      </c>
      <c r="H88" s="414">
        <v>3.5</v>
      </c>
      <c r="I88" s="241">
        <v>1</v>
      </c>
      <c r="J88" s="414"/>
      <c r="K88" s="176"/>
      <c r="L88" s="176"/>
      <c r="M88" s="406" t="s">
        <v>594</v>
      </c>
      <c r="N88" s="411"/>
      <c r="O88" s="411"/>
    </row>
    <row r="89" spans="1:15" ht="17.25" customHeight="1">
      <c r="A89" s="423">
        <v>78</v>
      </c>
      <c r="B89" s="434" t="s">
        <v>731</v>
      </c>
      <c r="C89" s="435" t="s">
        <v>732</v>
      </c>
      <c r="D89" s="176" t="s">
        <v>487</v>
      </c>
      <c r="E89" s="241">
        <v>1</v>
      </c>
      <c r="F89" s="414">
        <v>3.2</v>
      </c>
      <c r="G89" s="241"/>
      <c r="H89" s="241"/>
      <c r="I89" s="241">
        <v>1</v>
      </c>
      <c r="J89" s="414">
        <v>3.2</v>
      </c>
      <c r="K89" s="176"/>
      <c r="L89" s="176"/>
      <c r="M89" s="428"/>
      <c r="N89" s="411"/>
      <c r="O89" s="411"/>
    </row>
    <row r="90" spans="1:15" ht="17.25" customHeight="1">
      <c r="A90" s="423">
        <v>79</v>
      </c>
      <c r="B90" s="433" t="s">
        <v>733</v>
      </c>
      <c r="C90" s="425" t="s">
        <v>734</v>
      </c>
      <c r="D90" s="176" t="s">
        <v>487</v>
      </c>
      <c r="E90" s="241">
        <v>1</v>
      </c>
      <c r="F90" s="411">
        <v>4.5</v>
      </c>
      <c r="G90" s="241"/>
      <c r="H90" s="241"/>
      <c r="I90" s="241"/>
      <c r="J90" s="241"/>
      <c r="K90" s="176"/>
      <c r="L90" s="176"/>
      <c r="M90" s="406" t="s">
        <v>594</v>
      </c>
      <c r="N90" s="411"/>
      <c r="O90" s="411"/>
    </row>
    <row r="91" spans="1:15" ht="17.25" customHeight="1">
      <c r="A91" s="423">
        <v>80</v>
      </c>
      <c r="B91" s="434" t="s">
        <v>735</v>
      </c>
      <c r="C91" s="436" t="s">
        <v>736</v>
      </c>
      <c r="D91" s="176" t="s">
        <v>487</v>
      </c>
      <c r="E91" s="241">
        <v>1</v>
      </c>
      <c r="F91" s="414">
        <v>3.8</v>
      </c>
      <c r="G91" s="241">
        <v>1</v>
      </c>
      <c r="H91" s="414">
        <v>3.8</v>
      </c>
      <c r="I91" s="241"/>
      <c r="J91" s="414"/>
      <c r="K91" s="176"/>
      <c r="L91" s="176"/>
      <c r="M91" s="428"/>
      <c r="N91" s="411"/>
      <c r="O91" s="411"/>
    </row>
    <row r="92" spans="1:15" ht="17.25" customHeight="1">
      <c r="A92" s="423">
        <v>81</v>
      </c>
      <c r="B92" s="434" t="s">
        <v>737</v>
      </c>
      <c r="C92" s="435" t="s">
        <v>738</v>
      </c>
      <c r="D92" s="176" t="s">
        <v>487</v>
      </c>
      <c r="E92" s="241">
        <v>1</v>
      </c>
      <c r="F92" s="414">
        <v>4.3</v>
      </c>
      <c r="G92" s="241">
        <v>1</v>
      </c>
      <c r="H92" s="414">
        <v>4.3</v>
      </c>
      <c r="I92" s="241"/>
      <c r="J92" s="241"/>
      <c r="K92" s="176"/>
      <c r="L92" s="176"/>
      <c r="M92" s="428"/>
      <c r="N92" s="241">
        <v>1</v>
      </c>
      <c r="O92" s="411">
        <v>4.3</v>
      </c>
    </row>
    <row r="93" spans="1:15" ht="17.25" customHeight="1">
      <c r="A93" s="423">
        <v>82</v>
      </c>
      <c r="B93" s="437" t="s">
        <v>739</v>
      </c>
      <c r="C93" s="430" t="s">
        <v>740</v>
      </c>
      <c r="D93" s="176" t="s">
        <v>487</v>
      </c>
      <c r="E93" s="241">
        <v>1</v>
      </c>
      <c r="F93" s="414">
        <v>5.8</v>
      </c>
      <c r="G93" s="241">
        <v>1</v>
      </c>
      <c r="H93" s="414">
        <v>5.8</v>
      </c>
      <c r="I93" s="241"/>
      <c r="J93" s="241"/>
      <c r="K93" s="176"/>
      <c r="L93" s="176"/>
      <c r="M93" s="428"/>
      <c r="N93" s="241">
        <v>1</v>
      </c>
      <c r="O93" s="411">
        <v>5.8</v>
      </c>
    </row>
    <row r="94" spans="1:15" ht="17.25" customHeight="1">
      <c r="A94" s="423">
        <v>83</v>
      </c>
      <c r="B94" s="438" t="s">
        <v>741</v>
      </c>
      <c r="C94" s="436" t="s">
        <v>742</v>
      </c>
      <c r="D94" s="176" t="s">
        <v>487</v>
      </c>
      <c r="E94" s="241">
        <v>1</v>
      </c>
      <c r="F94" s="414">
        <v>3.7</v>
      </c>
      <c r="G94" s="241">
        <v>1</v>
      </c>
      <c r="H94" s="414">
        <v>3.7</v>
      </c>
      <c r="I94" s="241"/>
      <c r="J94" s="241"/>
      <c r="K94" s="176"/>
      <c r="L94" s="176"/>
      <c r="M94" s="428"/>
      <c r="N94" s="241">
        <v>1</v>
      </c>
      <c r="O94" s="411">
        <v>3.7</v>
      </c>
    </row>
    <row r="95" spans="1:15" ht="17.25" customHeight="1">
      <c r="A95" s="423">
        <v>84</v>
      </c>
      <c r="B95" s="434" t="s">
        <v>743</v>
      </c>
      <c r="C95" s="435" t="s">
        <v>744</v>
      </c>
      <c r="D95" s="176" t="s">
        <v>487</v>
      </c>
      <c r="E95" s="241">
        <v>1</v>
      </c>
      <c r="F95" s="414">
        <v>5</v>
      </c>
      <c r="G95" s="241"/>
      <c r="H95" s="241"/>
      <c r="I95" s="241">
        <v>1</v>
      </c>
      <c r="J95" s="414">
        <v>5</v>
      </c>
      <c r="K95" s="176"/>
      <c r="L95" s="176"/>
      <c r="M95" s="428"/>
      <c r="N95" s="411"/>
      <c r="O95" s="411"/>
    </row>
    <row r="96" spans="1:15" ht="17.25" customHeight="1">
      <c r="A96" s="423">
        <v>85</v>
      </c>
      <c r="B96" s="433" t="s">
        <v>745</v>
      </c>
      <c r="C96" s="439" t="s">
        <v>746</v>
      </c>
      <c r="D96" s="176" t="s">
        <v>487</v>
      </c>
      <c r="E96" s="241">
        <v>1</v>
      </c>
      <c r="F96" s="411">
        <v>4.3</v>
      </c>
      <c r="G96" s="241"/>
      <c r="H96" s="241"/>
      <c r="I96" s="241"/>
      <c r="J96" s="241"/>
      <c r="K96" s="176"/>
      <c r="L96" s="176"/>
      <c r="M96" s="406" t="s">
        <v>594</v>
      </c>
      <c r="N96" s="411"/>
      <c r="O96" s="411"/>
    </row>
    <row r="97" spans="1:15" ht="17.25" customHeight="1">
      <c r="A97" s="423">
        <v>86</v>
      </c>
      <c r="B97" s="434" t="s">
        <v>747</v>
      </c>
      <c r="C97" s="435" t="s">
        <v>748</v>
      </c>
      <c r="D97" s="176" t="s">
        <v>487</v>
      </c>
      <c r="E97" s="241">
        <v>1</v>
      </c>
      <c r="F97" s="414">
        <v>6.2</v>
      </c>
      <c r="G97" s="241"/>
      <c r="H97" s="241"/>
      <c r="I97" s="241">
        <v>1</v>
      </c>
      <c r="J97" s="414">
        <v>6.2</v>
      </c>
      <c r="K97" s="176"/>
      <c r="L97" s="176"/>
      <c r="M97" s="428"/>
      <c r="N97" s="411"/>
      <c r="O97" s="411"/>
    </row>
    <row r="98" spans="1:15" ht="17.25" customHeight="1">
      <c r="A98" s="423">
        <v>87</v>
      </c>
      <c r="B98" s="434" t="s">
        <v>749</v>
      </c>
      <c r="C98" s="435" t="s">
        <v>750</v>
      </c>
      <c r="D98" s="176" t="s">
        <v>487</v>
      </c>
      <c r="E98" s="241">
        <v>1</v>
      </c>
      <c r="F98" s="414">
        <v>3.1</v>
      </c>
      <c r="G98" s="241"/>
      <c r="H98" s="241"/>
      <c r="I98" s="241"/>
      <c r="J98" s="241">
        <v>1</v>
      </c>
      <c r="K98" s="440">
        <v>3.1</v>
      </c>
      <c r="L98" s="176"/>
      <c r="M98" s="428"/>
      <c r="N98" s="411"/>
      <c r="O98" s="411"/>
    </row>
    <row r="99" spans="1:15" ht="17.25" customHeight="1">
      <c r="A99" s="423">
        <v>88</v>
      </c>
      <c r="B99" s="434" t="s">
        <v>751</v>
      </c>
      <c r="C99" s="436" t="s">
        <v>752</v>
      </c>
      <c r="D99" s="176" t="s">
        <v>487</v>
      </c>
      <c r="E99" s="241">
        <v>1</v>
      </c>
      <c r="F99" s="414">
        <v>3.4</v>
      </c>
      <c r="G99" s="241"/>
      <c r="H99" s="241"/>
      <c r="I99" s="241"/>
      <c r="J99" s="241">
        <v>1</v>
      </c>
      <c r="K99" s="440">
        <v>3.4</v>
      </c>
      <c r="L99" s="176"/>
      <c r="M99" s="428"/>
      <c r="N99" s="411"/>
      <c r="O99" s="411"/>
    </row>
    <row r="100" spans="1:15" ht="17.25" customHeight="1">
      <c r="A100" s="423">
        <v>89</v>
      </c>
      <c r="B100" s="434" t="s">
        <v>753</v>
      </c>
      <c r="C100" s="435" t="s">
        <v>754</v>
      </c>
      <c r="D100" s="176" t="s">
        <v>487</v>
      </c>
      <c r="E100" s="241">
        <v>1</v>
      </c>
      <c r="F100" s="414">
        <v>3.3</v>
      </c>
      <c r="G100" s="241">
        <v>1</v>
      </c>
      <c r="H100" s="414">
        <v>3.3</v>
      </c>
      <c r="I100" s="241"/>
      <c r="J100" s="241"/>
      <c r="K100" s="176"/>
      <c r="L100" s="176"/>
      <c r="M100" s="428"/>
      <c r="N100" s="241">
        <v>1</v>
      </c>
      <c r="O100" s="411">
        <v>3.3</v>
      </c>
    </row>
    <row r="101" spans="1:15" ht="17.25" customHeight="1">
      <c r="A101" s="423">
        <v>90</v>
      </c>
      <c r="B101" s="433" t="s">
        <v>755</v>
      </c>
      <c r="C101" s="439" t="s">
        <v>756</v>
      </c>
      <c r="D101" s="176" t="s">
        <v>487</v>
      </c>
      <c r="E101" s="241">
        <v>1</v>
      </c>
      <c r="F101" s="411">
        <v>4</v>
      </c>
      <c r="G101" s="241"/>
      <c r="H101" s="241"/>
      <c r="I101" s="241"/>
      <c r="J101" s="241"/>
      <c r="K101" s="176"/>
      <c r="L101" s="176"/>
      <c r="M101" s="406" t="s">
        <v>594</v>
      </c>
      <c r="N101" s="411"/>
      <c r="O101" s="411"/>
    </row>
    <row r="102" spans="1:15" ht="17.25" customHeight="1">
      <c r="A102" s="423">
        <v>91</v>
      </c>
      <c r="B102" s="434" t="s">
        <v>757</v>
      </c>
      <c r="C102" s="435" t="s">
        <v>758</v>
      </c>
      <c r="D102" s="176" t="s">
        <v>487</v>
      </c>
      <c r="E102" s="241">
        <v>1</v>
      </c>
      <c r="F102" s="414">
        <v>3.3</v>
      </c>
      <c r="G102" s="241"/>
      <c r="H102" s="241"/>
      <c r="I102" s="241">
        <v>1</v>
      </c>
      <c r="J102" s="414">
        <v>3.3</v>
      </c>
      <c r="K102" s="176"/>
      <c r="L102" s="176"/>
      <c r="M102" s="428"/>
      <c r="N102" s="411"/>
      <c r="O102" s="411"/>
    </row>
    <row r="103" spans="1:15" ht="17.25" customHeight="1">
      <c r="A103" s="423">
        <v>92</v>
      </c>
      <c r="B103" s="434" t="s">
        <v>759</v>
      </c>
      <c r="C103" s="435" t="s">
        <v>760</v>
      </c>
      <c r="D103" s="176" t="s">
        <v>487</v>
      </c>
      <c r="E103" s="241">
        <v>1</v>
      </c>
      <c r="F103" s="414">
        <v>5.9</v>
      </c>
      <c r="G103" s="241"/>
      <c r="H103" s="241"/>
      <c r="I103" s="241"/>
      <c r="J103" s="241"/>
      <c r="K103" s="176"/>
      <c r="L103" s="176"/>
      <c r="M103" s="426" t="s">
        <v>631</v>
      </c>
      <c r="N103" s="411"/>
      <c r="O103" s="411"/>
    </row>
    <row r="104" spans="1:15" ht="17.25" customHeight="1">
      <c r="A104" s="423">
        <v>93</v>
      </c>
      <c r="B104" s="441" t="s">
        <v>761</v>
      </c>
      <c r="C104" s="435" t="s">
        <v>762</v>
      </c>
      <c r="D104" s="176" t="s">
        <v>487</v>
      </c>
      <c r="E104" s="241">
        <v>1</v>
      </c>
      <c r="F104" s="414">
        <v>9.8000000000000007</v>
      </c>
      <c r="G104" s="241"/>
      <c r="H104" s="241"/>
      <c r="I104" s="241">
        <v>1</v>
      </c>
      <c r="J104" s="414">
        <v>9.8000000000000007</v>
      </c>
      <c r="K104" s="176"/>
      <c r="L104" s="176"/>
      <c r="M104" s="428"/>
      <c r="N104" s="411"/>
      <c r="O104" s="411"/>
    </row>
    <row r="105" spans="1:15" ht="17.25" customHeight="1">
      <c r="A105" s="423">
        <v>94</v>
      </c>
      <c r="B105" s="435" t="s">
        <v>763</v>
      </c>
      <c r="C105" s="435" t="s">
        <v>764</v>
      </c>
      <c r="D105" s="176" t="s">
        <v>487</v>
      </c>
      <c r="E105" s="241">
        <v>1</v>
      </c>
      <c r="F105" s="414">
        <v>6.4</v>
      </c>
      <c r="G105" s="241"/>
      <c r="H105" s="241"/>
      <c r="I105" s="241">
        <v>1</v>
      </c>
      <c r="J105" s="414">
        <v>6.4</v>
      </c>
      <c r="K105" s="176"/>
      <c r="L105" s="176"/>
      <c r="M105" s="428"/>
      <c r="N105" s="411"/>
      <c r="O105" s="411"/>
    </row>
    <row r="106" spans="1:15" ht="17.25" customHeight="1">
      <c r="A106" s="423">
        <v>95</v>
      </c>
      <c r="B106" s="435" t="s">
        <v>765</v>
      </c>
      <c r="C106" s="435" t="s">
        <v>766</v>
      </c>
      <c r="D106" s="176" t="s">
        <v>487</v>
      </c>
      <c r="E106" s="241">
        <v>1</v>
      </c>
      <c r="F106" s="414">
        <v>2.5</v>
      </c>
      <c r="G106" s="241"/>
      <c r="H106" s="241"/>
      <c r="I106" s="241">
        <v>1</v>
      </c>
      <c r="J106" s="414">
        <v>2.5</v>
      </c>
      <c r="K106" s="176"/>
      <c r="L106" s="176"/>
      <c r="M106" s="428"/>
      <c r="N106" s="411"/>
      <c r="O106" s="411"/>
    </row>
    <row r="107" spans="1:15" ht="17.25" customHeight="1">
      <c r="A107" s="423">
        <v>96</v>
      </c>
      <c r="B107" s="435" t="s">
        <v>767</v>
      </c>
      <c r="C107" s="435" t="s">
        <v>768</v>
      </c>
      <c r="D107" s="176" t="s">
        <v>487</v>
      </c>
      <c r="E107" s="241">
        <v>1</v>
      </c>
      <c r="F107" s="414">
        <v>2.7</v>
      </c>
      <c r="G107" s="241">
        <v>1</v>
      </c>
      <c r="H107" s="414">
        <v>2.7</v>
      </c>
      <c r="I107" s="442"/>
      <c r="J107" s="442"/>
      <c r="K107" s="176"/>
      <c r="L107" s="176"/>
      <c r="M107" s="406" t="s">
        <v>594</v>
      </c>
      <c r="N107" s="411"/>
      <c r="O107" s="411"/>
    </row>
    <row r="108" spans="1:15" ht="17.25" customHeight="1">
      <c r="A108" s="423">
        <v>97</v>
      </c>
      <c r="B108" s="435" t="s">
        <v>769</v>
      </c>
      <c r="C108" s="435" t="s">
        <v>770</v>
      </c>
      <c r="D108" s="176" t="s">
        <v>487</v>
      </c>
      <c r="E108" s="241">
        <v>1</v>
      </c>
      <c r="F108" s="414">
        <v>2.7</v>
      </c>
      <c r="G108" s="241"/>
      <c r="H108" s="241"/>
      <c r="I108" s="241">
        <v>1</v>
      </c>
      <c r="J108" s="414">
        <v>2.7</v>
      </c>
      <c r="K108" s="176"/>
      <c r="L108" s="176"/>
      <c r="M108" s="428"/>
      <c r="N108" s="411"/>
      <c r="O108" s="411"/>
    </row>
    <row r="109" spans="1:15" ht="17.25" customHeight="1">
      <c r="A109" s="423">
        <v>98</v>
      </c>
      <c r="B109" s="435" t="s">
        <v>771</v>
      </c>
      <c r="C109" s="435" t="s">
        <v>772</v>
      </c>
      <c r="D109" s="176" t="s">
        <v>487</v>
      </c>
      <c r="E109" s="241">
        <v>1</v>
      </c>
      <c r="F109" s="414">
        <v>3.3</v>
      </c>
      <c r="G109" s="241"/>
      <c r="H109" s="241"/>
      <c r="I109" s="241">
        <v>1</v>
      </c>
      <c r="J109" s="414">
        <v>3.3</v>
      </c>
      <c r="K109" s="176"/>
      <c r="L109" s="176"/>
      <c r="M109" s="428"/>
      <c r="N109" s="411"/>
      <c r="O109" s="411"/>
    </row>
    <row r="110" spans="1:15" ht="17.25" customHeight="1">
      <c r="A110" s="423">
        <v>99</v>
      </c>
      <c r="B110" s="435" t="s">
        <v>773</v>
      </c>
      <c r="C110" s="435" t="s">
        <v>774</v>
      </c>
      <c r="D110" s="176" t="s">
        <v>487</v>
      </c>
      <c r="E110" s="241">
        <v>1</v>
      </c>
      <c r="F110" s="414">
        <v>3.4</v>
      </c>
      <c r="G110" s="241"/>
      <c r="H110" s="241"/>
      <c r="I110" s="241">
        <v>1</v>
      </c>
      <c r="J110" s="414">
        <v>3.4</v>
      </c>
      <c r="K110" s="176"/>
      <c r="L110" s="176"/>
      <c r="M110" s="428"/>
      <c r="N110" s="411"/>
      <c r="O110" s="411"/>
    </row>
    <row r="111" spans="1:15" ht="17.25" customHeight="1">
      <c r="A111" s="423">
        <v>100</v>
      </c>
      <c r="B111" s="435" t="s">
        <v>775</v>
      </c>
      <c r="C111" s="440" t="s">
        <v>776</v>
      </c>
      <c r="D111" s="176" t="s">
        <v>487</v>
      </c>
      <c r="E111" s="241">
        <v>1</v>
      </c>
      <c r="F111" s="414">
        <v>26.7</v>
      </c>
      <c r="G111" s="241"/>
      <c r="H111" s="241"/>
      <c r="I111" s="241">
        <v>1</v>
      </c>
      <c r="J111" s="414">
        <v>26.7</v>
      </c>
      <c r="K111" s="176"/>
      <c r="L111" s="176"/>
      <c r="M111" s="428"/>
      <c r="N111" s="411"/>
      <c r="O111" s="411"/>
    </row>
    <row r="112" spans="1:15" ht="17.25" customHeight="1">
      <c r="A112" s="423">
        <v>101</v>
      </c>
      <c r="B112" s="435" t="s">
        <v>777</v>
      </c>
      <c r="C112" s="435" t="s">
        <v>778</v>
      </c>
      <c r="D112" s="176" t="s">
        <v>487</v>
      </c>
      <c r="E112" s="241">
        <v>1</v>
      </c>
      <c r="F112" s="414">
        <v>9.6</v>
      </c>
      <c r="G112" s="241"/>
      <c r="H112" s="241"/>
      <c r="I112" s="241">
        <v>1</v>
      </c>
      <c r="J112" s="414">
        <v>9.6</v>
      </c>
      <c r="K112" s="176"/>
      <c r="L112" s="176"/>
      <c r="M112" s="428"/>
      <c r="N112" s="411"/>
      <c r="O112" s="411"/>
    </row>
    <row r="113" spans="1:15" ht="17.25" customHeight="1">
      <c r="A113" s="423">
        <v>102</v>
      </c>
      <c r="B113" s="435" t="s">
        <v>779</v>
      </c>
      <c r="C113" s="435" t="s">
        <v>780</v>
      </c>
      <c r="D113" s="176" t="s">
        <v>487</v>
      </c>
      <c r="E113" s="241">
        <v>1</v>
      </c>
      <c r="F113" s="414">
        <v>10.4</v>
      </c>
      <c r="G113" s="241"/>
      <c r="H113" s="241"/>
      <c r="I113" s="241">
        <v>1</v>
      </c>
      <c r="J113" s="414">
        <v>10.4</v>
      </c>
      <c r="K113" s="176"/>
      <c r="L113" s="176"/>
      <c r="M113" s="428"/>
      <c r="N113" s="411"/>
      <c r="O113" s="411"/>
    </row>
    <row r="114" spans="1:15" ht="17.25" customHeight="1">
      <c r="A114" s="423">
        <v>103</v>
      </c>
      <c r="B114" s="435" t="s">
        <v>781</v>
      </c>
      <c r="C114" s="435" t="s">
        <v>782</v>
      </c>
      <c r="D114" s="176" t="s">
        <v>487</v>
      </c>
      <c r="E114" s="241">
        <v>1</v>
      </c>
      <c r="F114" s="414">
        <v>17.3</v>
      </c>
      <c r="G114" s="241"/>
      <c r="H114" s="241"/>
      <c r="I114" s="241">
        <v>1</v>
      </c>
      <c r="J114" s="414">
        <v>17.3</v>
      </c>
      <c r="K114" s="176"/>
      <c r="L114" s="176"/>
      <c r="M114" s="428"/>
      <c r="N114" s="411"/>
      <c r="O114" s="411"/>
    </row>
    <row r="115" spans="1:15" ht="17.25" customHeight="1">
      <c r="A115" s="423">
        <v>104</v>
      </c>
      <c r="B115" s="435" t="s">
        <v>783</v>
      </c>
      <c r="C115" s="435" t="s">
        <v>784</v>
      </c>
      <c r="D115" s="176" t="s">
        <v>487</v>
      </c>
      <c r="E115" s="241">
        <v>1</v>
      </c>
      <c r="F115" s="414">
        <v>14.2</v>
      </c>
      <c r="G115" s="241"/>
      <c r="H115" s="241"/>
      <c r="I115" s="241">
        <v>1</v>
      </c>
      <c r="J115" s="414">
        <v>14.2</v>
      </c>
      <c r="K115" s="176"/>
      <c r="L115" s="176"/>
      <c r="M115" s="428"/>
      <c r="N115" s="411"/>
      <c r="O115" s="411"/>
    </row>
    <row r="116" spans="1:15" ht="17.25" customHeight="1">
      <c r="A116" s="423">
        <v>105</v>
      </c>
      <c r="B116" s="424"/>
      <c r="C116" s="435" t="s">
        <v>884</v>
      </c>
      <c r="D116" s="176" t="s">
        <v>487</v>
      </c>
      <c r="E116" s="241">
        <v>1</v>
      </c>
      <c r="F116" s="414">
        <v>4292.49</v>
      </c>
      <c r="G116" s="241"/>
      <c r="H116" s="241"/>
      <c r="I116" s="241"/>
      <c r="J116" s="241"/>
      <c r="K116" s="176"/>
      <c r="L116" s="176"/>
      <c r="M116" s="428"/>
      <c r="N116" s="411"/>
      <c r="O116" s="411"/>
    </row>
    <row r="117" spans="1:15" ht="17.25" customHeight="1">
      <c r="A117" s="423">
        <v>106</v>
      </c>
      <c r="B117" s="435" t="s">
        <v>785</v>
      </c>
      <c r="C117" s="435" t="s">
        <v>786</v>
      </c>
      <c r="D117" s="176" t="s">
        <v>487</v>
      </c>
      <c r="E117" s="241">
        <v>1</v>
      </c>
      <c r="F117" s="414">
        <v>2</v>
      </c>
      <c r="G117" s="241">
        <v>1</v>
      </c>
      <c r="H117" s="414">
        <v>2</v>
      </c>
      <c r="I117" s="231"/>
      <c r="J117" s="442"/>
      <c r="K117" s="176"/>
      <c r="L117" s="176"/>
      <c r="M117" s="406" t="s">
        <v>594</v>
      </c>
      <c r="N117" s="411"/>
      <c r="O117" s="411"/>
    </row>
    <row r="118" spans="1:15" ht="17.25" customHeight="1">
      <c r="A118" s="423">
        <v>107</v>
      </c>
      <c r="B118" s="425" t="s">
        <v>787</v>
      </c>
      <c r="C118" s="425" t="s">
        <v>788</v>
      </c>
      <c r="D118" s="176" t="s">
        <v>487</v>
      </c>
      <c r="E118" s="241">
        <v>1</v>
      </c>
      <c r="F118" s="411">
        <v>1839.78</v>
      </c>
      <c r="G118" s="241"/>
      <c r="H118" s="241"/>
      <c r="I118" s="241"/>
      <c r="J118" s="241"/>
      <c r="K118" s="176"/>
      <c r="L118" s="176"/>
      <c r="M118" s="406" t="s">
        <v>594</v>
      </c>
      <c r="N118" s="411"/>
      <c r="O118" s="411"/>
    </row>
    <row r="119" spans="1:15" ht="17.25" customHeight="1">
      <c r="A119" s="423">
        <v>108</v>
      </c>
      <c r="B119" s="435" t="s">
        <v>789</v>
      </c>
      <c r="C119" s="435" t="s">
        <v>790</v>
      </c>
      <c r="D119" s="176" t="s">
        <v>487</v>
      </c>
      <c r="E119" s="241">
        <v>1</v>
      </c>
      <c r="F119" s="414">
        <v>2.8</v>
      </c>
      <c r="G119" s="241"/>
      <c r="H119" s="241"/>
      <c r="I119" s="241">
        <v>1</v>
      </c>
      <c r="J119" s="414">
        <v>2.8</v>
      </c>
      <c r="K119" s="176"/>
      <c r="L119" s="176"/>
      <c r="M119" s="428"/>
      <c r="N119" s="411"/>
      <c r="O119" s="411"/>
    </row>
    <row r="120" spans="1:15" ht="17.25" customHeight="1">
      <c r="A120" s="423">
        <v>109</v>
      </c>
      <c r="B120" s="435" t="s">
        <v>791</v>
      </c>
      <c r="C120" s="435" t="s">
        <v>792</v>
      </c>
      <c r="D120" s="176" t="s">
        <v>487</v>
      </c>
      <c r="E120" s="241">
        <v>1</v>
      </c>
      <c r="F120" s="414">
        <v>1.9</v>
      </c>
      <c r="G120" s="241">
        <v>1</v>
      </c>
      <c r="H120" s="414">
        <v>1.9</v>
      </c>
      <c r="I120" s="442"/>
      <c r="J120" s="442"/>
      <c r="K120" s="176"/>
      <c r="L120" s="176"/>
      <c r="M120" s="406" t="s">
        <v>594</v>
      </c>
      <c r="N120" s="411"/>
      <c r="O120" s="411"/>
    </row>
    <row r="121" spans="1:15" ht="17.25" customHeight="1">
      <c r="A121" s="423">
        <v>110</v>
      </c>
      <c r="B121" s="435" t="s">
        <v>793</v>
      </c>
      <c r="C121" s="435" t="s">
        <v>794</v>
      </c>
      <c r="D121" s="176" t="s">
        <v>487</v>
      </c>
      <c r="E121" s="241">
        <v>1</v>
      </c>
      <c r="F121" s="414">
        <v>3.2</v>
      </c>
      <c r="G121" s="241"/>
      <c r="H121" s="241"/>
      <c r="I121" s="241">
        <v>1</v>
      </c>
      <c r="J121" s="414">
        <v>3.2</v>
      </c>
      <c r="K121" s="176"/>
      <c r="L121" s="176"/>
      <c r="M121" s="428"/>
      <c r="N121" s="411"/>
      <c r="O121" s="411"/>
    </row>
    <row r="122" spans="1:15" ht="17.25" customHeight="1">
      <c r="A122" s="423">
        <v>111</v>
      </c>
      <c r="B122" s="435" t="s">
        <v>795</v>
      </c>
      <c r="C122" s="435" t="s">
        <v>796</v>
      </c>
      <c r="D122" s="176" t="s">
        <v>487</v>
      </c>
      <c r="E122" s="241">
        <v>1</v>
      </c>
      <c r="F122" s="414">
        <v>2.5</v>
      </c>
      <c r="G122" s="241"/>
      <c r="H122" s="241"/>
      <c r="I122" s="241"/>
      <c r="J122" s="241"/>
      <c r="K122" s="176"/>
      <c r="L122" s="176"/>
      <c r="M122" s="426" t="s">
        <v>631</v>
      </c>
      <c r="N122" s="411"/>
      <c r="O122" s="411"/>
    </row>
    <row r="123" spans="1:15" ht="17.25" customHeight="1">
      <c r="A123" s="423">
        <v>112</v>
      </c>
      <c r="B123" s="435" t="s">
        <v>797</v>
      </c>
      <c r="C123" s="435" t="s">
        <v>798</v>
      </c>
      <c r="D123" s="176" t="s">
        <v>487</v>
      </c>
      <c r="E123" s="241">
        <v>1</v>
      </c>
      <c r="F123" s="414">
        <v>3.2</v>
      </c>
      <c r="G123" s="241"/>
      <c r="H123" s="241"/>
      <c r="I123" s="241">
        <v>1</v>
      </c>
      <c r="J123" s="414">
        <v>3.2</v>
      </c>
      <c r="K123" s="176"/>
      <c r="L123" s="176"/>
      <c r="M123" s="428"/>
      <c r="N123" s="411"/>
      <c r="O123" s="411"/>
    </row>
    <row r="124" spans="1:15" ht="17.25" customHeight="1">
      <c r="A124" s="423">
        <v>113</v>
      </c>
      <c r="B124" s="435" t="s">
        <v>799</v>
      </c>
      <c r="C124" s="435" t="s">
        <v>800</v>
      </c>
      <c r="D124" s="176" t="s">
        <v>487</v>
      </c>
      <c r="E124" s="241">
        <v>1</v>
      </c>
      <c r="F124" s="414">
        <v>2.5</v>
      </c>
      <c r="G124" s="241">
        <v>1</v>
      </c>
      <c r="H124" s="414">
        <v>2.5</v>
      </c>
      <c r="I124" s="442"/>
      <c r="J124" s="442"/>
      <c r="K124" s="176"/>
      <c r="L124" s="176"/>
      <c r="M124" s="406" t="s">
        <v>594</v>
      </c>
      <c r="N124" s="411"/>
      <c r="O124" s="411"/>
    </row>
    <row r="125" spans="1:15" ht="17.25" customHeight="1">
      <c r="A125" s="423">
        <v>114</v>
      </c>
      <c r="B125" s="435" t="s">
        <v>801</v>
      </c>
      <c r="C125" s="435" t="s">
        <v>802</v>
      </c>
      <c r="D125" s="176" t="s">
        <v>487</v>
      </c>
      <c r="E125" s="241">
        <v>1</v>
      </c>
      <c r="F125" s="414">
        <v>3</v>
      </c>
      <c r="G125" s="241"/>
      <c r="H125" s="241"/>
      <c r="I125" s="241">
        <v>1</v>
      </c>
      <c r="J125" s="414">
        <v>3</v>
      </c>
      <c r="K125" s="176"/>
      <c r="L125" s="176"/>
      <c r="M125" s="428"/>
      <c r="N125" s="411"/>
      <c r="O125" s="411"/>
    </row>
    <row r="126" spans="1:15" ht="17.25" customHeight="1">
      <c r="A126" s="423">
        <v>115</v>
      </c>
      <c r="B126" s="435" t="s">
        <v>803</v>
      </c>
      <c r="C126" s="435" t="s">
        <v>804</v>
      </c>
      <c r="D126" s="176" t="s">
        <v>487</v>
      </c>
      <c r="E126" s="241">
        <v>1</v>
      </c>
      <c r="F126" s="414">
        <v>3.7</v>
      </c>
      <c r="G126" s="241"/>
      <c r="H126" s="241"/>
      <c r="I126" s="241">
        <v>1</v>
      </c>
      <c r="J126" s="414">
        <v>3.7</v>
      </c>
      <c r="K126" s="176"/>
      <c r="L126" s="176"/>
      <c r="M126" s="428"/>
      <c r="N126" s="411"/>
      <c r="O126" s="411"/>
    </row>
    <row r="127" spans="1:15" ht="17.25" customHeight="1">
      <c r="A127" s="423">
        <v>116</v>
      </c>
      <c r="B127" s="435" t="s">
        <v>805</v>
      </c>
      <c r="C127" s="435" t="s">
        <v>806</v>
      </c>
      <c r="D127" s="176" t="s">
        <v>487</v>
      </c>
      <c r="E127" s="241">
        <v>1</v>
      </c>
      <c r="F127" s="414">
        <v>3</v>
      </c>
      <c r="G127" s="241"/>
      <c r="H127" s="241"/>
      <c r="I127" s="241">
        <v>1</v>
      </c>
      <c r="J127" s="414">
        <v>3</v>
      </c>
      <c r="K127" s="176"/>
      <c r="L127" s="176"/>
      <c r="M127" s="428"/>
      <c r="N127" s="411"/>
      <c r="O127" s="411"/>
    </row>
    <row r="128" spans="1:15" ht="17.25" customHeight="1">
      <c r="A128" s="423">
        <v>117</v>
      </c>
      <c r="B128" s="435" t="s">
        <v>807</v>
      </c>
      <c r="C128" s="435" t="s">
        <v>808</v>
      </c>
      <c r="D128" s="176" t="s">
        <v>487</v>
      </c>
      <c r="E128" s="241">
        <v>1</v>
      </c>
      <c r="F128" s="414">
        <v>3</v>
      </c>
      <c r="G128" s="241"/>
      <c r="H128" s="241"/>
      <c r="I128" s="241">
        <v>1</v>
      </c>
      <c r="J128" s="414">
        <v>3</v>
      </c>
      <c r="K128" s="176"/>
      <c r="L128" s="176"/>
      <c r="M128" s="428"/>
      <c r="N128" s="411"/>
      <c r="O128" s="411"/>
    </row>
    <row r="129" spans="1:15" ht="17.25" customHeight="1">
      <c r="A129" s="423">
        <v>118</v>
      </c>
      <c r="B129" s="435" t="s">
        <v>809</v>
      </c>
      <c r="C129" s="435" t="s">
        <v>810</v>
      </c>
      <c r="D129" s="176" t="s">
        <v>487</v>
      </c>
      <c r="E129" s="241">
        <v>1</v>
      </c>
      <c r="F129" s="414">
        <v>2.5</v>
      </c>
      <c r="G129" s="241"/>
      <c r="H129" s="241"/>
      <c r="I129" s="241">
        <v>1</v>
      </c>
      <c r="J129" s="414">
        <v>2.5</v>
      </c>
      <c r="K129" s="176"/>
      <c r="L129" s="176"/>
      <c r="M129" s="428"/>
      <c r="N129" s="411"/>
      <c r="O129" s="411"/>
    </row>
    <row r="130" spans="1:15" ht="17.25" customHeight="1">
      <c r="A130" s="423">
        <v>119</v>
      </c>
      <c r="B130" s="435" t="s">
        <v>811</v>
      </c>
      <c r="C130" s="430" t="s">
        <v>812</v>
      </c>
      <c r="D130" s="176" t="s">
        <v>487</v>
      </c>
      <c r="E130" s="241">
        <v>1</v>
      </c>
      <c r="F130" s="414">
        <v>7.7</v>
      </c>
      <c r="G130" s="241"/>
      <c r="H130" s="241"/>
      <c r="I130" s="241">
        <v>1</v>
      </c>
      <c r="J130" s="414">
        <v>7.7</v>
      </c>
      <c r="K130" s="176"/>
      <c r="L130" s="176"/>
      <c r="M130" s="428"/>
      <c r="N130" s="411"/>
      <c r="O130" s="411"/>
    </row>
    <row r="131" spans="1:15" ht="17.25" customHeight="1">
      <c r="A131" s="423">
        <v>120</v>
      </c>
      <c r="B131" s="435" t="s">
        <v>813</v>
      </c>
      <c r="C131" s="435" t="s">
        <v>814</v>
      </c>
      <c r="D131" s="176" t="s">
        <v>487</v>
      </c>
      <c r="E131" s="241">
        <v>1</v>
      </c>
      <c r="F131" s="414">
        <v>15.4</v>
      </c>
      <c r="G131" s="241"/>
      <c r="H131" s="241"/>
      <c r="I131" s="241">
        <v>1</v>
      </c>
      <c r="J131" s="414">
        <v>15.4</v>
      </c>
      <c r="K131" s="176"/>
      <c r="L131" s="176"/>
      <c r="M131" s="428"/>
      <c r="N131" s="411"/>
      <c r="O131" s="411"/>
    </row>
    <row r="132" spans="1:15" ht="17.25" customHeight="1">
      <c r="A132" s="423">
        <v>121</v>
      </c>
      <c r="B132" s="435" t="s">
        <v>815</v>
      </c>
      <c r="C132" s="435" t="s">
        <v>816</v>
      </c>
      <c r="D132" s="176" t="s">
        <v>487</v>
      </c>
      <c r="E132" s="241">
        <v>1</v>
      </c>
      <c r="F132" s="414">
        <v>2.7</v>
      </c>
      <c r="G132" s="241">
        <v>1</v>
      </c>
      <c r="H132" s="414">
        <v>2.7</v>
      </c>
      <c r="I132" s="442"/>
      <c r="J132" s="442"/>
      <c r="K132" s="176"/>
      <c r="L132" s="176"/>
      <c r="M132" s="423" t="s">
        <v>594</v>
      </c>
      <c r="N132" s="411"/>
      <c r="O132" s="411"/>
    </row>
    <row r="133" spans="1:15" ht="17.25" customHeight="1">
      <c r="A133" s="423">
        <v>122</v>
      </c>
      <c r="B133" s="435" t="s">
        <v>817</v>
      </c>
      <c r="C133" s="435" t="s">
        <v>818</v>
      </c>
      <c r="D133" s="176" t="s">
        <v>487</v>
      </c>
      <c r="E133" s="241">
        <v>1</v>
      </c>
      <c r="F133" s="414">
        <v>1.7</v>
      </c>
      <c r="G133" s="241">
        <v>1</v>
      </c>
      <c r="H133" s="414">
        <v>1.7</v>
      </c>
      <c r="I133" s="442"/>
      <c r="J133" s="442"/>
      <c r="K133" s="176"/>
      <c r="L133" s="176"/>
      <c r="M133" s="423" t="s">
        <v>594</v>
      </c>
      <c r="N133" s="411"/>
      <c r="O133" s="411"/>
    </row>
    <row r="134" spans="1:15" ht="17.25" customHeight="1">
      <c r="A134" s="423">
        <v>123</v>
      </c>
      <c r="B134" s="425" t="s">
        <v>819</v>
      </c>
      <c r="C134" s="425" t="s">
        <v>820</v>
      </c>
      <c r="D134" s="176" t="s">
        <v>487</v>
      </c>
      <c r="E134" s="241">
        <v>1</v>
      </c>
      <c r="F134" s="411">
        <v>2.8</v>
      </c>
      <c r="G134" s="241"/>
      <c r="H134" s="241"/>
      <c r="I134" s="241"/>
      <c r="J134" s="241"/>
      <c r="K134" s="176"/>
      <c r="L134" s="176"/>
      <c r="M134" s="423" t="s">
        <v>594</v>
      </c>
      <c r="N134" s="411"/>
      <c r="O134" s="411"/>
    </row>
    <row r="135" spans="1:15" ht="17.25" customHeight="1">
      <c r="A135" s="423">
        <v>124</v>
      </c>
      <c r="B135" s="435" t="s">
        <v>821</v>
      </c>
      <c r="C135" s="435" t="s">
        <v>822</v>
      </c>
      <c r="D135" s="176" t="s">
        <v>487</v>
      </c>
      <c r="E135" s="241">
        <v>1</v>
      </c>
      <c r="F135" s="414">
        <v>2.1</v>
      </c>
      <c r="G135" s="241"/>
      <c r="H135" s="241"/>
      <c r="I135" s="241">
        <v>1</v>
      </c>
      <c r="J135" s="414">
        <v>2.1</v>
      </c>
      <c r="K135" s="176"/>
      <c r="L135" s="176"/>
      <c r="M135" s="428"/>
      <c r="N135" s="411"/>
      <c r="O135" s="411"/>
    </row>
    <row r="136" spans="1:15" ht="17.25" customHeight="1">
      <c r="A136" s="423">
        <v>125</v>
      </c>
      <c r="B136" s="435" t="s">
        <v>823</v>
      </c>
      <c r="C136" s="435" t="s">
        <v>824</v>
      </c>
      <c r="D136" s="176" t="s">
        <v>487</v>
      </c>
      <c r="E136" s="241">
        <v>1</v>
      </c>
      <c r="F136" s="414">
        <v>5</v>
      </c>
      <c r="G136" s="241">
        <v>1</v>
      </c>
      <c r="H136" s="414">
        <v>5</v>
      </c>
      <c r="I136" s="442"/>
      <c r="J136" s="442"/>
      <c r="K136" s="176"/>
      <c r="L136" s="176"/>
      <c r="M136" s="423" t="s">
        <v>594</v>
      </c>
      <c r="N136" s="411"/>
      <c r="O136" s="411"/>
    </row>
    <row r="137" spans="1:15" ht="17.25" customHeight="1">
      <c r="A137" s="423">
        <v>126</v>
      </c>
      <c r="B137" s="435" t="s">
        <v>825</v>
      </c>
      <c r="C137" s="435" t="s">
        <v>826</v>
      </c>
      <c r="D137" s="176" t="s">
        <v>487</v>
      </c>
      <c r="E137" s="241">
        <v>1</v>
      </c>
      <c r="F137" s="414">
        <v>3.8</v>
      </c>
      <c r="G137" s="241">
        <v>1</v>
      </c>
      <c r="H137" s="414">
        <v>3.8</v>
      </c>
      <c r="I137" s="442"/>
      <c r="J137" s="442"/>
      <c r="K137" s="176"/>
      <c r="L137" s="176"/>
      <c r="M137" s="423" t="s">
        <v>594</v>
      </c>
      <c r="N137" s="411"/>
      <c r="O137" s="411"/>
    </row>
    <row r="138" spans="1:15" ht="17.25" customHeight="1">
      <c r="A138" s="423">
        <v>127</v>
      </c>
      <c r="B138" s="425" t="s">
        <v>827</v>
      </c>
      <c r="C138" s="424" t="s">
        <v>828</v>
      </c>
      <c r="D138" s="176" t="s">
        <v>487</v>
      </c>
      <c r="E138" s="241">
        <v>1</v>
      </c>
      <c r="F138" s="411">
        <v>2.2999999999999998</v>
      </c>
      <c r="G138" s="241"/>
      <c r="H138" s="241"/>
      <c r="I138" s="241"/>
      <c r="J138" s="241"/>
      <c r="K138" s="176"/>
      <c r="L138" s="176"/>
      <c r="M138" s="423" t="s">
        <v>594</v>
      </c>
      <c r="N138" s="411"/>
      <c r="O138" s="411"/>
    </row>
    <row r="139" spans="1:15" ht="17.25" customHeight="1">
      <c r="A139" s="423">
        <v>128</v>
      </c>
      <c r="B139" s="435" t="s">
        <v>829</v>
      </c>
      <c r="C139" s="435" t="s">
        <v>830</v>
      </c>
      <c r="D139" s="176" t="s">
        <v>487</v>
      </c>
      <c r="E139" s="241">
        <v>1</v>
      </c>
      <c r="F139" s="414">
        <v>6.6</v>
      </c>
      <c r="G139" s="241"/>
      <c r="H139" s="241"/>
      <c r="I139" s="241">
        <v>1</v>
      </c>
      <c r="J139" s="414">
        <v>6.6</v>
      </c>
      <c r="K139" s="176"/>
      <c r="L139" s="176"/>
      <c r="M139" s="428"/>
      <c r="N139" s="411"/>
      <c r="O139" s="411"/>
    </row>
    <row r="140" spans="1:15" ht="17.25" customHeight="1">
      <c r="A140" s="423">
        <v>129</v>
      </c>
      <c r="B140" s="435" t="s">
        <v>831</v>
      </c>
      <c r="C140" s="435" t="s">
        <v>832</v>
      </c>
      <c r="D140" s="176" t="s">
        <v>487</v>
      </c>
      <c r="E140" s="241">
        <v>1</v>
      </c>
      <c r="F140" s="414">
        <v>2.2999999999999998</v>
      </c>
      <c r="G140" s="241"/>
      <c r="H140" s="241"/>
      <c r="I140" s="241">
        <v>1</v>
      </c>
      <c r="J140" s="414">
        <v>2.2999999999999998</v>
      </c>
      <c r="K140" s="176"/>
      <c r="L140" s="176"/>
      <c r="M140" s="428"/>
      <c r="N140" s="411"/>
      <c r="O140" s="411"/>
    </row>
    <row r="141" spans="1:15" ht="17.25" customHeight="1">
      <c r="A141" s="423">
        <v>130</v>
      </c>
      <c r="B141" s="435" t="s">
        <v>833</v>
      </c>
      <c r="C141" s="435" t="s">
        <v>834</v>
      </c>
      <c r="D141" s="176" t="s">
        <v>487</v>
      </c>
      <c r="E141" s="241">
        <v>1</v>
      </c>
      <c r="F141" s="414">
        <v>2.2999999999999998</v>
      </c>
      <c r="G141" s="241"/>
      <c r="H141" s="241"/>
      <c r="I141" s="241">
        <v>1</v>
      </c>
      <c r="J141" s="414">
        <v>2.2999999999999998</v>
      </c>
      <c r="K141" s="176"/>
      <c r="L141" s="176"/>
      <c r="M141" s="428"/>
      <c r="N141" s="411"/>
      <c r="O141" s="411"/>
    </row>
    <row r="142" spans="1:15" ht="17.25" customHeight="1">
      <c r="A142" s="423">
        <v>131</v>
      </c>
      <c r="B142" s="435" t="s">
        <v>835</v>
      </c>
      <c r="C142" s="435" t="s">
        <v>836</v>
      </c>
      <c r="D142" s="176" t="s">
        <v>487</v>
      </c>
      <c r="E142" s="241">
        <v>1</v>
      </c>
      <c r="F142" s="414">
        <v>3.3</v>
      </c>
      <c r="G142" s="241"/>
      <c r="H142" s="241"/>
      <c r="I142" s="241">
        <v>1</v>
      </c>
      <c r="J142" s="414">
        <v>3.3</v>
      </c>
      <c r="K142" s="176"/>
      <c r="L142" s="176"/>
      <c r="M142" s="428"/>
      <c r="N142" s="411"/>
      <c r="O142" s="411"/>
    </row>
    <row r="143" spans="1:15" ht="17.25" customHeight="1">
      <c r="A143" s="423">
        <v>132</v>
      </c>
      <c r="B143" s="435" t="s">
        <v>837</v>
      </c>
      <c r="C143" s="435" t="s">
        <v>838</v>
      </c>
      <c r="D143" s="176" t="s">
        <v>487</v>
      </c>
      <c r="E143" s="241">
        <v>1</v>
      </c>
      <c r="F143" s="414">
        <v>17.8</v>
      </c>
      <c r="G143" s="241"/>
      <c r="H143" s="241"/>
      <c r="I143" s="241">
        <v>1</v>
      </c>
      <c r="J143" s="414">
        <v>17.8</v>
      </c>
      <c r="K143" s="176"/>
      <c r="L143" s="176"/>
      <c r="M143" s="428"/>
      <c r="N143" s="411"/>
      <c r="O143" s="411"/>
    </row>
    <row r="144" spans="1:15" ht="17.25" customHeight="1">
      <c r="A144" s="423">
        <v>133</v>
      </c>
      <c r="B144" s="435" t="s">
        <v>839</v>
      </c>
      <c r="C144" s="430" t="s">
        <v>840</v>
      </c>
      <c r="D144" s="176" t="s">
        <v>487</v>
      </c>
      <c r="E144" s="241">
        <v>1</v>
      </c>
      <c r="F144" s="414">
        <v>31.3</v>
      </c>
      <c r="G144" s="241"/>
      <c r="H144" s="241"/>
      <c r="I144" s="241"/>
      <c r="J144" s="414"/>
      <c r="K144" s="176"/>
      <c r="L144" s="176"/>
      <c r="M144" s="426" t="s">
        <v>631</v>
      </c>
      <c r="N144" s="411"/>
      <c r="O144" s="411"/>
    </row>
    <row r="145" spans="1:15" ht="17.25" customHeight="1">
      <c r="A145" s="423">
        <v>134</v>
      </c>
      <c r="B145" s="435" t="s">
        <v>841</v>
      </c>
      <c r="C145" s="435" t="s">
        <v>842</v>
      </c>
      <c r="D145" s="176" t="s">
        <v>487</v>
      </c>
      <c r="E145" s="241">
        <v>1</v>
      </c>
      <c r="F145" s="414">
        <v>11.9</v>
      </c>
      <c r="G145" s="241"/>
      <c r="H145" s="241"/>
      <c r="I145" s="241">
        <v>1</v>
      </c>
      <c r="J145" s="414">
        <v>11.9</v>
      </c>
      <c r="K145" s="176"/>
      <c r="L145" s="176"/>
      <c r="M145" s="426" t="s">
        <v>631</v>
      </c>
      <c r="N145" s="411"/>
      <c r="O145" s="411"/>
    </row>
    <row r="146" spans="1:15" ht="17.25" customHeight="1">
      <c r="A146" s="423">
        <v>135</v>
      </c>
      <c r="B146" s="435" t="s">
        <v>843</v>
      </c>
      <c r="C146" s="435" t="s">
        <v>844</v>
      </c>
      <c r="D146" s="176" t="s">
        <v>487</v>
      </c>
      <c r="E146" s="241">
        <v>1</v>
      </c>
      <c r="F146" s="414">
        <v>2.4</v>
      </c>
      <c r="G146" s="241"/>
      <c r="H146" s="241"/>
      <c r="I146" s="241">
        <v>1</v>
      </c>
      <c r="J146" s="414">
        <v>2.4</v>
      </c>
      <c r="K146" s="176"/>
      <c r="L146" s="176"/>
      <c r="M146" s="428"/>
      <c r="N146" s="411"/>
      <c r="O146" s="411"/>
    </row>
    <row r="147" spans="1:15" ht="17.25" customHeight="1">
      <c r="A147" s="423">
        <v>136</v>
      </c>
      <c r="B147" s="435" t="s">
        <v>845</v>
      </c>
      <c r="C147" s="435" t="s">
        <v>846</v>
      </c>
      <c r="D147" s="176" t="s">
        <v>487</v>
      </c>
      <c r="E147" s="241">
        <v>1</v>
      </c>
      <c r="F147" s="414">
        <v>1.4</v>
      </c>
      <c r="G147" s="241">
        <v>1</v>
      </c>
      <c r="H147" s="414">
        <v>1.4</v>
      </c>
      <c r="I147" s="442"/>
      <c r="J147" s="442"/>
      <c r="K147" s="176"/>
      <c r="L147" s="176"/>
      <c r="M147" s="423" t="s">
        <v>594</v>
      </c>
      <c r="N147" s="411"/>
      <c r="O147" s="411"/>
    </row>
    <row r="148" spans="1:15" ht="17.25" customHeight="1">
      <c r="A148" s="423">
        <v>137</v>
      </c>
      <c r="B148" s="435" t="s">
        <v>847</v>
      </c>
      <c r="C148" s="435" t="s">
        <v>848</v>
      </c>
      <c r="D148" s="176" t="s">
        <v>487</v>
      </c>
      <c r="E148" s="241">
        <v>1</v>
      </c>
      <c r="F148" s="414">
        <v>8</v>
      </c>
      <c r="G148" s="241"/>
      <c r="H148" s="241"/>
      <c r="I148" s="241">
        <v>1</v>
      </c>
      <c r="J148" s="414">
        <v>8</v>
      </c>
      <c r="K148" s="176"/>
      <c r="L148" s="176"/>
      <c r="M148" s="428"/>
      <c r="N148" s="411"/>
      <c r="O148" s="411"/>
    </row>
    <row r="149" spans="1:15" ht="17.25" customHeight="1">
      <c r="A149" s="423">
        <v>138</v>
      </c>
      <c r="B149" s="435" t="s">
        <v>849</v>
      </c>
      <c r="C149" s="435" t="s">
        <v>850</v>
      </c>
      <c r="D149" s="176" t="s">
        <v>487</v>
      </c>
      <c r="E149" s="241">
        <v>1</v>
      </c>
      <c r="F149" s="414">
        <v>4.3</v>
      </c>
      <c r="G149" s="241"/>
      <c r="H149" s="241"/>
      <c r="I149" s="241">
        <v>1</v>
      </c>
      <c r="J149" s="414">
        <v>4.3</v>
      </c>
      <c r="K149" s="176"/>
      <c r="L149" s="176"/>
      <c r="M149" s="428"/>
      <c r="N149" s="411"/>
      <c r="O149" s="411"/>
    </row>
    <row r="150" spans="1:15" ht="17.25" customHeight="1">
      <c r="A150" s="423">
        <v>139</v>
      </c>
      <c r="B150" s="435" t="s">
        <v>851</v>
      </c>
      <c r="C150" s="435" t="s">
        <v>852</v>
      </c>
      <c r="D150" s="176" t="s">
        <v>487</v>
      </c>
      <c r="E150" s="241">
        <v>1</v>
      </c>
      <c r="F150" s="414">
        <v>7.3</v>
      </c>
      <c r="G150" s="241"/>
      <c r="H150" s="241"/>
      <c r="I150" s="241">
        <v>1</v>
      </c>
      <c r="J150" s="414">
        <v>7.3</v>
      </c>
      <c r="K150" s="176"/>
      <c r="L150" s="176"/>
      <c r="M150" s="428"/>
      <c r="N150" s="411"/>
      <c r="O150" s="411"/>
    </row>
    <row r="151" spans="1:15" ht="17.25" customHeight="1">
      <c r="A151" s="423">
        <v>140</v>
      </c>
      <c r="B151" s="435" t="s">
        <v>853</v>
      </c>
      <c r="C151" s="435" t="s">
        <v>854</v>
      </c>
      <c r="D151" s="176" t="s">
        <v>487</v>
      </c>
      <c r="E151" s="241">
        <v>1</v>
      </c>
      <c r="F151" s="414">
        <v>6.4</v>
      </c>
      <c r="G151" s="241"/>
      <c r="H151" s="241"/>
      <c r="I151" s="241">
        <v>1</v>
      </c>
      <c r="J151" s="414">
        <v>6.4</v>
      </c>
      <c r="K151" s="176"/>
      <c r="L151" s="176"/>
      <c r="M151" s="428"/>
      <c r="N151" s="411"/>
      <c r="O151" s="411"/>
    </row>
    <row r="152" spans="1:15" ht="17.25" customHeight="1">
      <c r="A152" s="423">
        <v>141</v>
      </c>
      <c r="B152" s="435" t="s">
        <v>855</v>
      </c>
      <c r="C152" s="435" t="s">
        <v>856</v>
      </c>
      <c r="D152" s="176" t="s">
        <v>487</v>
      </c>
      <c r="E152" s="241">
        <v>1</v>
      </c>
      <c r="F152" s="414">
        <v>5.9</v>
      </c>
      <c r="G152" s="241"/>
      <c r="H152" s="241"/>
      <c r="I152" s="241">
        <v>1</v>
      </c>
      <c r="J152" s="414">
        <v>5.9</v>
      </c>
      <c r="K152" s="176"/>
      <c r="L152" s="176"/>
      <c r="M152" s="428"/>
      <c r="N152" s="411"/>
      <c r="O152" s="411"/>
    </row>
    <row r="153" spans="1:15" ht="17.25" customHeight="1">
      <c r="A153" s="423">
        <v>142</v>
      </c>
      <c r="B153" s="435" t="s">
        <v>857</v>
      </c>
      <c r="C153" s="435" t="s">
        <v>858</v>
      </c>
      <c r="D153" s="176" t="s">
        <v>487</v>
      </c>
      <c r="E153" s="241">
        <v>1</v>
      </c>
      <c r="F153" s="414">
        <v>3.8</v>
      </c>
      <c r="G153" s="241"/>
      <c r="H153" s="241"/>
      <c r="I153" s="241">
        <v>1</v>
      </c>
      <c r="J153" s="414">
        <v>3.8</v>
      </c>
      <c r="K153" s="176"/>
      <c r="L153" s="176"/>
      <c r="M153" s="428"/>
      <c r="N153" s="411"/>
      <c r="O153" s="411"/>
    </row>
    <row r="154" spans="1:15" ht="17.25" customHeight="1">
      <c r="A154" s="423">
        <v>143</v>
      </c>
      <c r="B154" s="435" t="s">
        <v>859</v>
      </c>
      <c r="C154" s="435" t="s">
        <v>860</v>
      </c>
      <c r="D154" s="176" t="s">
        <v>487</v>
      </c>
      <c r="E154" s="241">
        <v>1</v>
      </c>
      <c r="F154" s="414">
        <v>3.6</v>
      </c>
      <c r="G154" s="241">
        <v>1</v>
      </c>
      <c r="H154" s="414">
        <v>3.6</v>
      </c>
      <c r="I154" s="442"/>
      <c r="J154" s="442"/>
      <c r="K154" s="176"/>
      <c r="L154" s="176"/>
      <c r="M154" s="423" t="s">
        <v>594</v>
      </c>
      <c r="N154" s="411"/>
      <c r="O154" s="411"/>
    </row>
    <row r="155" spans="1:15" ht="17.25" customHeight="1">
      <c r="A155" s="423">
        <v>144</v>
      </c>
      <c r="B155" s="435" t="s">
        <v>885</v>
      </c>
      <c r="C155" s="435" t="s">
        <v>886</v>
      </c>
      <c r="D155" s="176" t="s">
        <v>487</v>
      </c>
      <c r="E155" s="241">
        <v>1</v>
      </c>
      <c r="F155" s="414">
        <v>2.9</v>
      </c>
      <c r="G155" s="241">
        <v>1</v>
      </c>
      <c r="H155" s="414">
        <v>2.9</v>
      </c>
      <c r="I155" s="241"/>
      <c r="J155" s="414"/>
      <c r="K155" s="176"/>
      <c r="L155" s="176"/>
      <c r="M155" s="428"/>
      <c r="N155" s="241">
        <v>1</v>
      </c>
      <c r="O155" s="411">
        <v>2.9</v>
      </c>
    </row>
    <row r="156" spans="1:15" ht="17.25" customHeight="1">
      <c r="A156" s="423">
        <v>145</v>
      </c>
      <c r="B156" s="430" t="s">
        <v>887</v>
      </c>
      <c r="C156" s="435" t="s">
        <v>888</v>
      </c>
      <c r="D156" s="176" t="s">
        <v>487</v>
      </c>
      <c r="E156" s="241">
        <v>1</v>
      </c>
      <c r="F156" s="414">
        <v>2.2999999999999998</v>
      </c>
      <c r="G156" s="241">
        <v>1</v>
      </c>
      <c r="H156" s="414">
        <v>2.2999999999999998</v>
      </c>
      <c r="I156" s="241"/>
      <c r="J156" s="414"/>
      <c r="K156" s="176"/>
      <c r="L156" s="176"/>
      <c r="M156" s="428"/>
      <c r="N156" s="241">
        <v>1</v>
      </c>
      <c r="O156" s="411">
        <v>2.2999999999999998</v>
      </c>
    </row>
    <row r="157" spans="1:15" ht="17.25" customHeight="1">
      <c r="A157" s="423">
        <v>146</v>
      </c>
      <c r="B157" s="430" t="s">
        <v>889</v>
      </c>
      <c r="C157" s="435" t="s">
        <v>890</v>
      </c>
      <c r="D157" s="176" t="s">
        <v>487</v>
      </c>
      <c r="E157" s="241">
        <v>1</v>
      </c>
      <c r="F157" s="414">
        <v>4</v>
      </c>
      <c r="G157" s="241">
        <v>1</v>
      </c>
      <c r="H157" s="414">
        <v>4</v>
      </c>
      <c r="I157" s="241"/>
      <c r="J157" s="414"/>
      <c r="K157" s="176"/>
      <c r="L157" s="176"/>
      <c r="M157" s="428"/>
      <c r="N157" s="241">
        <v>1</v>
      </c>
      <c r="O157" s="411">
        <v>4</v>
      </c>
    </row>
    <row r="158" spans="1:15" ht="17.25" customHeight="1">
      <c r="A158" s="423">
        <v>147</v>
      </c>
      <c r="B158" s="430" t="s">
        <v>891</v>
      </c>
      <c r="C158" s="435" t="s">
        <v>892</v>
      </c>
      <c r="D158" s="176" t="s">
        <v>487</v>
      </c>
      <c r="E158" s="241">
        <v>1</v>
      </c>
      <c r="F158" s="414">
        <v>12.4</v>
      </c>
      <c r="G158" s="241">
        <v>1</v>
      </c>
      <c r="H158" s="414">
        <v>12.4</v>
      </c>
      <c r="I158" s="241"/>
      <c r="J158" s="414"/>
      <c r="K158" s="176"/>
      <c r="L158" s="176"/>
      <c r="M158" s="428"/>
      <c r="N158" s="241">
        <v>1</v>
      </c>
      <c r="O158" s="411">
        <v>12.4</v>
      </c>
    </row>
    <row r="159" spans="1:15" ht="17.25" customHeight="1">
      <c r="A159" s="423">
        <v>148</v>
      </c>
      <c r="B159" s="430" t="s">
        <v>893</v>
      </c>
      <c r="C159" s="435" t="s">
        <v>894</v>
      </c>
      <c r="D159" s="176" t="s">
        <v>487</v>
      </c>
      <c r="E159" s="241">
        <v>1</v>
      </c>
      <c r="F159" s="414">
        <v>10.6</v>
      </c>
      <c r="G159" s="241"/>
      <c r="H159" s="241"/>
      <c r="I159" s="241">
        <v>1</v>
      </c>
      <c r="J159" s="414">
        <v>10.6</v>
      </c>
      <c r="K159" s="176"/>
      <c r="L159" s="176"/>
      <c r="M159" s="428"/>
      <c r="N159" s="411"/>
      <c r="O159" s="411"/>
    </row>
    <row r="160" spans="1:15" ht="17.25" customHeight="1">
      <c r="A160" s="423">
        <v>149</v>
      </c>
      <c r="B160" s="430" t="s">
        <v>895</v>
      </c>
      <c r="C160" s="435" t="s">
        <v>896</v>
      </c>
      <c r="D160" s="176" t="s">
        <v>487</v>
      </c>
      <c r="E160" s="241">
        <v>1</v>
      </c>
      <c r="F160" s="414">
        <v>3.8</v>
      </c>
      <c r="G160" s="241"/>
      <c r="H160" s="241"/>
      <c r="I160" s="241">
        <v>1</v>
      </c>
      <c r="J160" s="414">
        <v>3.8</v>
      </c>
      <c r="K160" s="176"/>
      <c r="L160" s="176"/>
      <c r="M160" s="428"/>
      <c r="N160" s="411"/>
      <c r="O160" s="411"/>
    </row>
    <row r="161" spans="1:15" ht="17.25" customHeight="1">
      <c r="A161" s="423">
        <v>150</v>
      </c>
      <c r="B161" s="430" t="s">
        <v>897</v>
      </c>
      <c r="C161" s="435" t="s">
        <v>898</v>
      </c>
      <c r="D161" s="176" t="s">
        <v>487</v>
      </c>
      <c r="E161" s="241">
        <v>1</v>
      </c>
      <c r="F161" s="414">
        <v>4.5</v>
      </c>
      <c r="G161" s="241"/>
      <c r="H161" s="241"/>
      <c r="I161" s="241">
        <v>1</v>
      </c>
      <c r="J161" s="414">
        <v>4.5</v>
      </c>
      <c r="K161" s="176"/>
      <c r="L161" s="176"/>
      <c r="M161" s="428"/>
      <c r="N161" s="411"/>
      <c r="O161" s="411"/>
    </row>
    <row r="162" spans="1:15" ht="17.25" customHeight="1">
      <c r="A162" s="423">
        <v>151</v>
      </c>
      <c r="B162" s="430" t="s">
        <v>899</v>
      </c>
      <c r="C162" s="435" t="s">
        <v>900</v>
      </c>
      <c r="D162" s="176" t="s">
        <v>487</v>
      </c>
      <c r="E162" s="241">
        <v>1</v>
      </c>
      <c r="F162" s="414">
        <v>1.6</v>
      </c>
      <c r="G162" s="241">
        <v>1</v>
      </c>
      <c r="H162" s="414">
        <v>1.6</v>
      </c>
      <c r="I162" s="241"/>
      <c r="J162" s="414"/>
      <c r="K162" s="176"/>
      <c r="L162" s="176"/>
      <c r="M162" s="428"/>
      <c r="N162" s="241">
        <v>1</v>
      </c>
      <c r="O162" s="411">
        <v>1.6</v>
      </c>
    </row>
    <row r="163" spans="1:15" ht="17.25" customHeight="1">
      <c r="A163" s="423">
        <v>152</v>
      </c>
      <c r="B163" s="430" t="s">
        <v>901</v>
      </c>
      <c r="C163" s="435" t="s">
        <v>902</v>
      </c>
      <c r="D163" s="176" t="s">
        <v>487</v>
      </c>
      <c r="E163" s="241">
        <v>1</v>
      </c>
      <c r="F163" s="414">
        <v>3.4</v>
      </c>
      <c r="G163" s="241">
        <v>1</v>
      </c>
      <c r="H163" s="414">
        <v>3.4</v>
      </c>
      <c r="I163" s="241"/>
      <c r="J163" s="414"/>
      <c r="K163" s="176"/>
      <c r="L163" s="176"/>
      <c r="M163" s="428"/>
      <c r="N163" s="241">
        <v>1</v>
      </c>
      <c r="O163" s="411">
        <v>3.4</v>
      </c>
    </row>
    <row r="164" spans="1:15" ht="17.25" customHeight="1">
      <c r="A164" s="423">
        <v>153</v>
      </c>
      <c r="B164" s="430" t="s">
        <v>903</v>
      </c>
      <c r="C164" s="435" t="s">
        <v>904</v>
      </c>
      <c r="D164" s="176" t="s">
        <v>487</v>
      </c>
      <c r="E164" s="241">
        <v>1</v>
      </c>
      <c r="F164" s="414">
        <v>5</v>
      </c>
      <c r="G164" s="241">
        <v>1</v>
      </c>
      <c r="H164" s="414">
        <v>5</v>
      </c>
      <c r="I164" s="241"/>
      <c r="J164" s="414"/>
      <c r="K164" s="176"/>
      <c r="L164" s="176"/>
      <c r="M164" s="428"/>
      <c r="N164" s="411"/>
      <c r="O164" s="411"/>
    </row>
    <row r="165" spans="1:15" ht="17.25" customHeight="1">
      <c r="A165" s="423">
        <v>154</v>
      </c>
      <c r="B165" s="424" t="s">
        <v>905</v>
      </c>
      <c r="C165" s="425" t="s">
        <v>906</v>
      </c>
      <c r="D165" s="176" t="s">
        <v>487</v>
      </c>
      <c r="E165" s="241">
        <v>1</v>
      </c>
      <c r="F165" s="414">
        <v>2.2000000000000002</v>
      </c>
      <c r="G165" s="241">
        <v>1</v>
      </c>
      <c r="H165" s="414">
        <v>2.2000000000000002</v>
      </c>
      <c r="I165" s="241"/>
      <c r="J165" s="414"/>
      <c r="K165" s="176"/>
      <c r="L165" s="176"/>
      <c r="M165" s="423" t="s">
        <v>594</v>
      </c>
      <c r="N165" s="411"/>
      <c r="O165" s="411"/>
    </row>
    <row r="166" spans="1:15" ht="17.25" customHeight="1">
      <c r="A166" s="423">
        <v>155</v>
      </c>
      <c r="B166" s="430" t="s">
        <v>907</v>
      </c>
      <c r="C166" s="435" t="s">
        <v>908</v>
      </c>
      <c r="D166" s="176" t="s">
        <v>487</v>
      </c>
      <c r="E166" s="241">
        <v>1</v>
      </c>
      <c r="F166" s="414">
        <v>1.9</v>
      </c>
      <c r="G166" s="241">
        <v>1</v>
      </c>
      <c r="H166" s="414">
        <v>1.9</v>
      </c>
      <c r="I166" s="241"/>
      <c r="J166" s="414"/>
      <c r="K166" s="176"/>
      <c r="L166" s="176"/>
      <c r="M166" s="428"/>
      <c r="N166" s="241">
        <v>1</v>
      </c>
      <c r="O166" s="411">
        <v>1.9</v>
      </c>
    </row>
    <row r="167" spans="1:15" ht="17.25" customHeight="1">
      <c r="A167" s="423">
        <v>156</v>
      </c>
      <c r="B167" s="430" t="s">
        <v>909</v>
      </c>
      <c r="C167" s="443" t="s">
        <v>910</v>
      </c>
      <c r="D167" s="176" t="s">
        <v>487</v>
      </c>
      <c r="E167" s="241">
        <v>1</v>
      </c>
      <c r="F167" s="414">
        <v>1.5</v>
      </c>
      <c r="G167" s="241">
        <v>1</v>
      </c>
      <c r="H167" s="414">
        <v>1.5</v>
      </c>
      <c r="I167" s="241"/>
      <c r="J167" s="414"/>
      <c r="K167" s="176"/>
      <c r="L167" s="176"/>
      <c r="M167" s="428"/>
      <c r="N167" s="241">
        <v>1</v>
      </c>
      <c r="O167" s="411">
        <v>1.5</v>
      </c>
    </row>
    <row r="168" spans="1:15" ht="17.25" customHeight="1">
      <c r="A168" s="423">
        <v>157</v>
      </c>
      <c r="B168" s="430" t="s">
        <v>911</v>
      </c>
      <c r="C168" s="443" t="s">
        <v>912</v>
      </c>
      <c r="D168" s="176" t="s">
        <v>487</v>
      </c>
      <c r="E168" s="241">
        <v>1</v>
      </c>
      <c r="F168" s="414">
        <v>4</v>
      </c>
      <c r="G168" s="241">
        <v>1</v>
      </c>
      <c r="H168" s="414">
        <v>4</v>
      </c>
      <c r="I168" s="241"/>
      <c r="J168" s="414"/>
      <c r="K168" s="176"/>
      <c r="L168" s="176"/>
      <c r="M168" s="428"/>
      <c r="N168" s="241">
        <v>1</v>
      </c>
      <c r="O168" s="411">
        <v>4</v>
      </c>
    </row>
    <row r="169" spans="1:15" ht="17.25" customHeight="1">
      <c r="A169" s="423">
        <v>158</v>
      </c>
      <c r="B169" s="430" t="s">
        <v>913</v>
      </c>
      <c r="C169" s="443" t="s">
        <v>914</v>
      </c>
      <c r="D169" s="176" t="s">
        <v>487</v>
      </c>
      <c r="E169" s="241">
        <v>1</v>
      </c>
      <c r="F169" s="414">
        <v>6</v>
      </c>
      <c r="G169" s="241"/>
      <c r="H169" s="241"/>
      <c r="I169" s="241">
        <v>1</v>
      </c>
      <c r="J169" s="414">
        <v>6</v>
      </c>
      <c r="K169" s="176"/>
      <c r="L169" s="176"/>
      <c r="M169" s="428"/>
      <c r="N169" s="411"/>
      <c r="O169" s="411"/>
    </row>
    <row r="170" spans="1:15" ht="17.25" customHeight="1">
      <c r="A170" s="423">
        <v>159</v>
      </c>
      <c r="B170" s="430" t="s">
        <v>915</v>
      </c>
      <c r="C170" s="435" t="s">
        <v>916</v>
      </c>
      <c r="D170" s="176" t="s">
        <v>487</v>
      </c>
      <c r="E170" s="241">
        <v>1</v>
      </c>
      <c r="F170" s="414">
        <v>2.2999999999999998</v>
      </c>
      <c r="G170" s="241">
        <v>1</v>
      </c>
      <c r="H170" s="414">
        <v>2.2999999999999998</v>
      </c>
      <c r="I170" s="241"/>
      <c r="J170" s="414"/>
      <c r="K170" s="176"/>
      <c r="L170" s="176"/>
      <c r="M170" s="428"/>
      <c r="N170" s="241">
        <v>1</v>
      </c>
      <c r="O170" s="411">
        <v>2.2999999999999998</v>
      </c>
    </row>
    <row r="171" spans="1:15" ht="17.25" customHeight="1">
      <c r="A171" s="423">
        <v>160</v>
      </c>
      <c r="B171" s="430" t="s">
        <v>917</v>
      </c>
      <c r="C171" s="430" t="s">
        <v>918</v>
      </c>
      <c r="D171" s="176" t="s">
        <v>487</v>
      </c>
      <c r="E171" s="241">
        <v>1</v>
      </c>
      <c r="F171" s="414">
        <v>9</v>
      </c>
      <c r="G171" s="241">
        <v>1</v>
      </c>
      <c r="H171" s="414">
        <v>9</v>
      </c>
      <c r="I171" s="241"/>
      <c r="J171" s="414"/>
      <c r="K171" s="176"/>
      <c r="L171" s="176"/>
      <c r="M171" s="428"/>
      <c r="N171" s="241">
        <v>1</v>
      </c>
      <c r="O171" s="411">
        <v>9</v>
      </c>
    </row>
    <row r="172" spans="1:15" ht="17.25" customHeight="1">
      <c r="A172" s="423">
        <v>161</v>
      </c>
      <c r="B172" s="430" t="s">
        <v>919</v>
      </c>
      <c r="C172" s="435" t="s">
        <v>920</v>
      </c>
      <c r="D172" s="176" t="s">
        <v>487</v>
      </c>
      <c r="E172" s="241">
        <v>1</v>
      </c>
      <c r="F172" s="414">
        <v>10.3</v>
      </c>
      <c r="G172" s="241">
        <v>1</v>
      </c>
      <c r="H172" s="414">
        <v>10.3</v>
      </c>
      <c r="I172" s="241"/>
      <c r="J172" s="414"/>
      <c r="K172" s="176"/>
      <c r="L172" s="176"/>
      <c r="M172" s="428"/>
      <c r="N172" s="241">
        <v>1</v>
      </c>
      <c r="O172" s="411">
        <v>10.3</v>
      </c>
    </row>
    <row r="173" spans="1:15" ht="17.25" customHeight="1">
      <c r="A173" s="423">
        <v>162</v>
      </c>
      <c r="B173" s="430" t="s">
        <v>921</v>
      </c>
      <c r="C173" s="435" t="s">
        <v>922</v>
      </c>
      <c r="D173" s="176" t="s">
        <v>487</v>
      </c>
      <c r="E173" s="241">
        <v>1</v>
      </c>
      <c r="F173" s="414">
        <v>3</v>
      </c>
      <c r="G173" s="241">
        <v>1</v>
      </c>
      <c r="H173" s="414">
        <v>3</v>
      </c>
      <c r="I173" s="241"/>
      <c r="J173" s="414"/>
      <c r="K173" s="176"/>
      <c r="L173" s="176"/>
      <c r="M173" s="428"/>
      <c r="N173" s="411"/>
      <c r="O173" s="411"/>
    </row>
    <row r="174" spans="1:15" ht="17.25" customHeight="1">
      <c r="A174" s="423">
        <v>163</v>
      </c>
      <c r="B174" s="430" t="s">
        <v>923</v>
      </c>
      <c r="C174" s="430" t="s">
        <v>924</v>
      </c>
      <c r="D174" s="176" t="s">
        <v>487</v>
      </c>
      <c r="E174" s="241">
        <v>1</v>
      </c>
      <c r="F174" s="414">
        <v>4.7</v>
      </c>
      <c r="G174" s="241"/>
      <c r="H174" s="241"/>
      <c r="I174" s="241">
        <v>1</v>
      </c>
      <c r="J174" s="414">
        <v>4.7</v>
      </c>
      <c r="K174" s="176"/>
      <c r="L174" s="176"/>
      <c r="M174" s="428"/>
      <c r="N174" s="411"/>
      <c r="O174" s="411"/>
    </row>
    <row r="175" spans="1:15" ht="17.25" customHeight="1">
      <c r="A175" s="423">
        <v>164</v>
      </c>
      <c r="B175" s="430" t="s">
        <v>925</v>
      </c>
      <c r="C175" s="435" t="s">
        <v>926</v>
      </c>
      <c r="D175" s="176" t="s">
        <v>487</v>
      </c>
      <c r="E175" s="241">
        <v>1</v>
      </c>
      <c r="F175" s="414">
        <v>10.1</v>
      </c>
      <c r="G175" s="241">
        <v>1</v>
      </c>
      <c r="H175" s="414">
        <v>10.1</v>
      </c>
      <c r="I175" s="241"/>
      <c r="J175" s="414"/>
      <c r="K175" s="176"/>
      <c r="L175" s="176"/>
      <c r="M175" s="428"/>
      <c r="N175" s="241">
        <v>1</v>
      </c>
      <c r="O175" s="411">
        <v>10.1</v>
      </c>
    </row>
    <row r="176" spans="1:15" ht="17.25" customHeight="1">
      <c r="A176" s="423">
        <v>165</v>
      </c>
      <c r="B176" s="430" t="s">
        <v>927</v>
      </c>
      <c r="C176" s="430" t="s">
        <v>928</v>
      </c>
      <c r="D176" s="176" t="s">
        <v>487</v>
      </c>
      <c r="E176" s="241">
        <v>1</v>
      </c>
      <c r="F176" s="414">
        <v>1.8</v>
      </c>
      <c r="G176" s="241">
        <v>1</v>
      </c>
      <c r="H176" s="414">
        <v>1.8</v>
      </c>
      <c r="I176" s="241"/>
      <c r="J176" s="414"/>
      <c r="K176" s="176"/>
      <c r="L176" s="176"/>
      <c r="M176" s="428"/>
      <c r="N176" s="411"/>
      <c r="O176" s="411"/>
    </row>
    <row r="177" spans="1:15" ht="17.25" customHeight="1">
      <c r="A177" s="423">
        <v>166</v>
      </c>
      <c r="B177" s="430" t="s">
        <v>929</v>
      </c>
      <c r="C177" s="435" t="s">
        <v>930</v>
      </c>
      <c r="D177" s="176" t="s">
        <v>487</v>
      </c>
      <c r="E177" s="241">
        <v>1</v>
      </c>
      <c r="F177" s="414">
        <v>3.1</v>
      </c>
      <c r="G177" s="241">
        <v>1</v>
      </c>
      <c r="H177" s="414">
        <v>3.1</v>
      </c>
      <c r="I177" s="241"/>
      <c r="J177" s="414"/>
      <c r="K177" s="176"/>
      <c r="L177" s="176"/>
      <c r="M177" s="428"/>
      <c r="N177" s="241">
        <v>1</v>
      </c>
      <c r="O177" s="411">
        <v>3.1</v>
      </c>
    </row>
    <row r="178" spans="1:15" ht="17.25" customHeight="1">
      <c r="A178" s="423">
        <v>167</v>
      </c>
      <c r="B178" s="430" t="s">
        <v>931</v>
      </c>
      <c r="C178" s="435" t="s">
        <v>932</v>
      </c>
      <c r="D178" s="176" t="s">
        <v>487</v>
      </c>
      <c r="E178" s="241">
        <v>1</v>
      </c>
      <c r="F178" s="414">
        <v>4</v>
      </c>
      <c r="G178" s="241">
        <v>1</v>
      </c>
      <c r="H178" s="414">
        <v>4</v>
      </c>
      <c r="I178" s="241"/>
      <c r="J178" s="414"/>
      <c r="K178" s="176"/>
      <c r="L178" s="176"/>
      <c r="M178" s="428"/>
      <c r="N178" s="241">
        <v>1</v>
      </c>
      <c r="O178" s="411">
        <v>4</v>
      </c>
    </row>
    <row r="179" spans="1:15" ht="17.25" customHeight="1">
      <c r="A179" s="423">
        <v>168</v>
      </c>
      <c r="B179" s="430" t="s">
        <v>933</v>
      </c>
      <c r="C179" s="435" t="s">
        <v>934</v>
      </c>
      <c r="D179" s="176" t="s">
        <v>487</v>
      </c>
      <c r="E179" s="241">
        <v>1</v>
      </c>
      <c r="F179" s="414">
        <v>2.6</v>
      </c>
      <c r="G179" s="241">
        <v>1</v>
      </c>
      <c r="H179" s="414">
        <v>2.6</v>
      </c>
      <c r="I179" s="241"/>
      <c r="J179" s="414"/>
      <c r="K179" s="176"/>
      <c r="L179" s="176"/>
      <c r="M179" s="428"/>
      <c r="N179" s="241">
        <v>1</v>
      </c>
      <c r="O179" s="411">
        <v>2.6</v>
      </c>
    </row>
    <row r="180" spans="1:15" ht="17.25" customHeight="1">
      <c r="A180" s="423">
        <v>169</v>
      </c>
      <c r="B180" s="444" t="s">
        <v>935</v>
      </c>
      <c r="C180" s="435" t="s">
        <v>936</v>
      </c>
      <c r="D180" s="176" t="s">
        <v>487</v>
      </c>
      <c r="E180" s="241">
        <v>1</v>
      </c>
      <c r="F180" s="414">
        <v>8.4</v>
      </c>
      <c r="G180" s="241"/>
      <c r="H180" s="241"/>
      <c r="I180" s="241">
        <v>1</v>
      </c>
      <c r="J180" s="414">
        <v>8.4</v>
      </c>
      <c r="K180" s="176"/>
      <c r="L180" s="176"/>
      <c r="M180" s="428"/>
      <c r="N180" s="411"/>
      <c r="O180" s="411"/>
    </row>
    <row r="181" spans="1:15" ht="17.25" customHeight="1">
      <c r="A181" s="423">
        <v>170</v>
      </c>
      <c r="B181" s="444" t="s">
        <v>937</v>
      </c>
      <c r="C181" s="435" t="s">
        <v>938</v>
      </c>
      <c r="D181" s="176" t="s">
        <v>487</v>
      </c>
      <c r="E181" s="241">
        <v>1</v>
      </c>
      <c r="F181" s="414">
        <v>3.4</v>
      </c>
      <c r="G181" s="241"/>
      <c r="H181" s="241"/>
      <c r="I181" s="241">
        <v>1</v>
      </c>
      <c r="J181" s="414">
        <v>3.4</v>
      </c>
      <c r="K181" s="176"/>
      <c r="L181" s="176"/>
      <c r="M181" s="428"/>
      <c r="N181" s="411"/>
      <c r="O181" s="411"/>
    </row>
    <row r="182" spans="1:15" ht="17.25" customHeight="1">
      <c r="A182" s="423">
        <v>171</v>
      </c>
      <c r="B182" s="444" t="s">
        <v>939</v>
      </c>
      <c r="C182" s="435" t="s">
        <v>940</v>
      </c>
      <c r="D182" s="176" t="s">
        <v>487</v>
      </c>
      <c r="E182" s="241">
        <v>1</v>
      </c>
      <c r="F182" s="414">
        <v>14.2</v>
      </c>
      <c r="G182" s="241">
        <v>1</v>
      </c>
      <c r="H182" s="414">
        <v>14.2</v>
      </c>
      <c r="I182" s="241"/>
      <c r="J182" s="414"/>
      <c r="K182" s="176"/>
      <c r="L182" s="176"/>
      <c r="M182" s="428"/>
      <c r="N182" s="241">
        <v>1</v>
      </c>
      <c r="O182" s="414">
        <v>14.2</v>
      </c>
    </row>
    <row r="183" spans="1:15" ht="17.25" customHeight="1">
      <c r="A183" s="423">
        <v>172</v>
      </c>
      <c r="B183" s="444" t="s">
        <v>941</v>
      </c>
      <c r="C183" s="435" t="s">
        <v>942</v>
      </c>
      <c r="D183" s="176" t="s">
        <v>487</v>
      </c>
      <c r="E183" s="241">
        <v>1</v>
      </c>
      <c r="F183" s="414">
        <v>2.1</v>
      </c>
      <c r="G183" s="241">
        <v>1</v>
      </c>
      <c r="H183" s="414">
        <v>2.1</v>
      </c>
      <c r="I183" s="241"/>
      <c r="J183" s="414"/>
      <c r="K183" s="176"/>
      <c r="L183" s="176"/>
      <c r="M183" s="428"/>
      <c r="N183" s="241">
        <v>1</v>
      </c>
      <c r="O183" s="414">
        <v>2.1</v>
      </c>
    </row>
    <row r="184" spans="1:15" ht="17.25" customHeight="1">
      <c r="A184" s="423">
        <v>173</v>
      </c>
      <c r="B184" s="444" t="s">
        <v>943</v>
      </c>
      <c r="C184" s="440" t="s">
        <v>944</v>
      </c>
      <c r="D184" s="176" t="s">
        <v>487</v>
      </c>
      <c r="E184" s="241">
        <v>1</v>
      </c>
      <c r="F184" s="414">
        <v>3.6</v>
      </c>
      <c r="G184" s="241">
        <v>1</v>
      </c>
      <c r="H184" s="414">
        <v>3.6</v>
      </c>
      <c r="I184" s="241"/>
      <c r="J184" s="414"/>
      <c r="K184" s="176"/>
      <c r="L184" s="176"/>
      <c r="M184" s="428"/>
      <c r="N184" s="241">
        <v>1</v>
      </c>
      <c r="O184" s="414">
        <v>3.6</v>
      </c>
    </row>
    <row r="185" spans="1:15" ht="17.25" customHeight="1">
      <c r="A185" s="423">
        <v>174</v>
      </c>
      <c r="B185" s="444" t="s">
        <v>945</v>
      </c>
      <c r="C185" s="435" t="s">
        <v>946</v>
      </c>
      <c r="D185" s="176" t="s">
        <v>487</v>
      </c>
      <c r="E185" s="241">
        <v>1</v>
      </c>
      <c r="F185" s="414">
        <v>8.3000000000000007</v>
      </c>
      <c r="G185" s="241">
        <v>1</v>
      </c>
      <c r="H185" s="414">
        <v>3.6</v>
      </c>
      <c r="I185" s="241"/>
      <c r="J185" s="414"/>
      <c r="K185" s="176"/>
      <c r="L185" s="176"/>
      <c r="M185" s="428"/>
      <c r="N185" s="241">
        <v>1</v>
      </c>
      <c r="O185" s="414">
        <v>3.6</v>
      </c>
    </row>
    <row r="186" spans="1:15" ht="17.25" customHeight="1">
      <c r="A186" s="423">
        <v>175</v>
      </c>
      <c r="B186" s="444" t="s">
        <v>947</v>
      </c>
      <c r="C186" s="435" t="s">
        <v>948</v>
      </c>
      <c r="D186" s="176" t="s">
        <v>487</v>
      </c>
      <c r="E186" s="241">
        <v>1</v>
      </c>
      <c r="F186" s="414">
        <v>4.5</v>
      </c>
      <c r="G186" s="241">
        <v>1</v>
      </c>
      <c r="H186" s="414">
        <v>4.5</v>
      </c>
      <c r="I186" s="241"/>
      <c r="J186" s="414"/>
      <c r="K186" s="176"/>
      <c r="L186" s="176"/>
      <c r="M186" s="428"/>
      <c r="N186" s="411"/>
      <c r="O186" s="411"/>
    </row>
    <row r="187" spans="1:15" ht="17.25" customHeight="1">
      <c r="A187" s="423">
        <v>176</v>
      </c>
      <c r="B187" s="444" t="s">
        <v>949</v>
      </c>
      <c r="C187" s="435" t="s">
        <v>950</v>
      </c>
      <c r="D187" s="176" t="s">
        <v>487</v>
      </c>
      <c r="E187" s="241">
        <v>1</v>
      </c>
      <c r="F187" s="414">
        <v>2.9</v>
      </c>
      <c r="G187" s="241">
        <v>1</v>
      </c>
      <c r="H187" s="414">
        <v>2.9</v>
      </c>
      <c r="I187" s="241"/>
      <c r="J187" s="414"/>
      <c r="K187" s="176"/>
      <c r="L187" s="176"/>
      <c r="M187" s="428"/>
      <c r="N187" s="241">
        <v>1</v>
      </c>
      <c r="O187" s="414">
        <v>2.9</v>
      </c>
    </row>
    <row r="188" spans="1:15" ht="17.25" customHeight="1">
      <c r="A188" s="423">
        <v>177</v>
      </c>
      <c r="B188" s="429" t="s">
        <v>951</v>
      </c>
      <c r="C188" s="435" t="s">
        <v>952</v>
      </c>
      <c r="D188" s="176" t="s">
        <v>487</v>
      </c>
      <c r="E188" s="241">
        <v>1</v>
      </c>
      <c r="F188" s="414">
        <v>6.6</v>
      </c>
      <c r="G188" s="241"/>
      <c r="H188" s="241"/>
      <c r="I188" s="241">
        <v>1</v>
      </c>
      <c r="J188" s="414">
        <v>6.6</v>
      </c>
      <c r="K188" s="176"/>
      <c r="L188" s="176"/>
      <c r="M188" s="428"/>
      <c r="N188" s="411"/>
      <c r="O188" s="411"/>
    </row>
    <row r="189" spans="1:15" ht="17.25" customHeight="1">
      <c r="A189" s="423">
        <v>178</v>
      </c>
      <c r="B189" s="429" t="s">
        <v>953</v>
      </c>
      <c r="C189" s="435" t="s">
        <v>954</v>
      </c>
      <c r="D189" s="176" t="s">
        <v>487</v>
      </c>
      <c r="E189" s="241">
        <v>1</v>
      </c>
      <c r="F189" s="414">
        <v>3.4</v>
      </c>
      <c r="G189" s="241">
        <v>1</v>
      </c>
      <c r="H189" s="414">
        <v>3.4</v>
      </c>
      <c r="I189" s="241"/>
      <c r="J189" s="414"/>
      <c r="K189" s="176"/>
      <c r="L189" s="176"/>
      <c r="M189" s="428"/>
      <c r="N189" s="241">
        <v>1</v>
      </c>
      <c r="O189" s="414">
        <v>3.4</v>
      </c>
    </row>
    <row r="190" spans="1:15" ht="17.25" customHeight="1">
      <c r="A190" s="423">
        <v>179</v>
      </c>
      <c r="B190" s="435" t="s">
        <v>955</v>
      </c>
      <c r="C190" s="445" t="s">
        <v>956</v>
      </c>
      <c r="D190" s="176" t="s">
        <v>487</v>
      </c>
      <c r="E190" s="241">
        <v>1</v>
      </c>
      <c r="F190" s="414">
        <v>5.9</v>
      </c>
      <c r="G190" s="241"/>
      <c r="H190" s="241"/>
      <c r="I190" s="241">
        <v>1</v>
      </c>
      <c r="J190" s="414">
        <v>5.9</v>
      </c>
      <c r="K190" s="176"/>
      <c r="L190" s="176"/>
      <c r="M190" s="428"/>
      <c r="N190" s="411"/>
      <c r="O190" s="411"/>
    </row>
    <row r="191" spans="1:15" ht="17.25" customHeight="1">
      <c r="A191" s="423">
        <v>180</v>
      </c>
      <c r="B191" s="435" t="s">
        <v>957</v>
      </c>
      <c r="C191" s="445" t="s">
        <v>958</v>
      </c>
      <c r="D191" s="176" t="s">
        <v>487</v>
      </c>
      <c r="E191" s="241">
        <v>1</v>
      </c>
      <c r="F191" s="414">
        <v>1</v>
      </c>
      <c r="G191" s="241"/>
      <c r="H191" s="241"/>
      <c r="I191" s="241">
        <v>1</v>
      </c>
      <c r="J191" s="414">
        <v>1</v>
      </c>
      <c r="K191" s="176"/>
      <c r="L191" s="176"/>
      <c r="M191" s="428"/>
      <c r="N191" s="411"/>
      <c r="O191" s="411"/>
    </row>
    <row r="192" spans="1:15" ht="17.25" customHeight="1">
      <c r="A192" s="423">
        <v>181</v>
      </c>
      <c r="B192" s="435" t="s">
        <v>959</v>
      </c>
      <c r="C192" s="445" t="s">
        <v>960</v>
      </c>
      <c r="D192" s="176" t="s">
        <v>487</v>
      </c>
      <c r="E192" s="241">
        <v>1</v>
      </c>
      <c r="F192" s="414">
        <v>11.7</v>
      </c>
      <c r="G192" s="241"/>
      <c r="H192" s="241"/>
      <c r="I192" s="241">
        <v>1</v>
      </c>
      <c r="J192" s="414">
        <v>11.7</v>
      </c>
      <c r="K192" s="176"/>
      <c r="L192" s="176"/>
      <c r="M192" s="428"/>
      <c r="N192" s="411"/>
      <c r="O192" s="411"/>
    </row>
    <row r="193" spans="1:15" ht="17.25" customHeight="1">
      <c r="A193" s="423">
        <v>182</v>
      </c>
      <c r="B193" s="435" t="s">
        <v>961</v>
      </c>
      <c r="C193" s="445" t="s">
        <v>962</v>
      </c>
      <c r="D193" s="176" t="s">
        <v>487</v>
      </c>
      <c r="E193" s="241">
        <v>1</v>
      </c>
      <c r="F193" s="414">
        <v>2.5</v>
      </c>
      <c r="G193" s="241"/>
      <c r="H193" s="241"/>
      <c r="I193" s="241">
        <v>1</v>
      </c>
      <c r="J193" s="414">
        <v>2.5</v>
      </c>
      <c r="K193" s="176"/>
      <c r="L193" s="176"/>
      <c r="M193" s="428"/>
      <c r="N193" s="411"/>
      <c r="O193" s="411"/>
    </row>
    <row r="194" spans="1:15" ht="17.25" customHeight="1">
      <c r="A194" s="423">
        <v>183</v>
      </c>
      <c r="B194" s="435" t="s">
        <v>963</v>
      </c>
      <c r="C194" s="445" t="s">
        <v>964</v>
      </c>
      <c r="D194" s="176" t="s">
        <v>487</v>
      </c>
      <c r="E194" s="241">
        <v>1</v>
      </c>
      <c r="F194" s="414">
        <v>2.1</v>
      </c>
      <c r="G194" s="241">
        <v>1</v>
      </c>
      <c r="H194" s="414">
        <v>2.1</v>
      </c>
      <c r="I194" s="241"/>
      <c r="J194" s="414"/>
      <c r="K194" s="176"/>
      <c r="L194" s="176"/>
      <c r="M194" s="428"/>
      <c r="N194" s="241">
        <v>1</v>
      </c>
      <c r="O194" s="414">
        <v>2.1</v>
      </c>
    </row>
    <row r="195" spans="1:15" ht="17.25" customHeight="1">
      <c r="A195" s="423">
        <v>184</v>
      </c>
      <c r="B195" s="435" t="s">
        <v>965</v>
      </c>
      <c r="C195" s="445" t="s">
        <v>966</v>
      </c>
      <c r="D195" s="176" t="s">
        <v>487</v>
      </c>
      <c r="E195" s="241">
        <v>1</v>
      </c>
      <c r="F195" s="414">
        <v>5.5</v>
      </c>
      <c r="G195" s="241"/>
      <c r="H195" s="241"/>
      <c r="I195" s="241">
        <v>1</v>
      </c>
      <c r="J195" s="414">
        <v>5.5</v>
      </c>
      <c r="K195" s="176"/>
      <c r="L195" s="176"/>
      <c r="M195" s="428"/>
      <c r="N195" s="411"/>
      <c r="O195" s="411"/>
    </row>
    <row r="196" spans="1:15" ht="17.25" customHeight="1">
      <c r="A196" s="423">
        <v>185</v>
      </c>
      <c r="B196" s="435" t="s">
        <v>967</v>
      </c>
      <c r="C196" s="445" t="s">
        <v>968</v>
      </c>
      <c r="D196" s="176" t="s">
        <v>487</v>
      </c>
      <c r="E196" s="241">
        <v>1</v>
      </c>
      <c r="F196" s="414">
        <v>10.8</v>
      </c>
      <c r="G196" s="241">
        <v>1</v>
      </c>
      <c r="H196" s="414">
        <v>10.8</v>
      </c>
      <c r="I196" s="241"/>
      <c r="J196" s="414"/>
      <c r="K196" s="176"/>
      <c r="L196" s="176"/>
      <c r="M196" s="428"/>
      <c r="N196" s="241">
        <v>1</v>
      </c>
      <c r="O196" s="414">
        <v>10.8</v>
      </c>
    </row>
    <row r="197" spans="1:15" ht="17.25" customHeight="1">
      <c r="A197" s="423">
        <v>186</v>
      </c>
      <c r="B197" s="435" t="s">
        <v>969</v>
      </c>
      <c r="C197" s="446" t="s">
        <v>970</v>
      </c>
      <c r="D197" s="176" t="s">
        <v>487</v>
      </c>
      <c r="E197" s="241">
        <v>1</v>
      </c>
      <c r="F197" s="414">
        <v>8.4</v>
      </c>
      <c r="G197" s="241"/>
      <c r="H197" s="241"/>
      <c r="I197" s="241">
        <v>1</v>
      </c>
      <c r="J197" s="414">
        <v>8.4</v>
      </c>
      <c r="K197" s="176"/>
      <c r="L197" s="176"/>
      <c r="M197" s="428"/>
      <c r="N197" s="411"/>
      <c r="O197" s="411"/>
    </row>
    <row r="198" spans="1:15" ht="17.25" customHeight="1">
      <c r="A198" s="423">
        <v>187</v>
      </c>
      <c r="B198" s="425" t="s">
        <v>971</v>
      </c>
      <c r="C198" s="425" t="s">
        <v>972</v>
      </c>
      <c r="D198" s="176" t="s">
        <v>487</v>
      </c>
      <c r="E198" s="241">
        <v>1</v>
      </c>
      <c r="F198" s="414">
        <v>2.7</v>
      </c>
      <c r="G198" s="241">
        <v>1</v>
      </c>
      <c r="H198" s="414">
        <v>2.7</v>
      </c>
      <c r="I198" s="241"/>
      <c r="J198" s="414"/>
      <c r="K198" s="176"/>
      <c r="L198" s="176"/>
      <c r="M198" s="423" t="s">
        <v>594</v>
      </c>
      <c r="N198" s="411"/>
      <c r="O198" s="411"/>
    </row>
    <row r="199" spans="1:15" ht="17.25" customHeight="1">
      <c r="A199" s="423">
        <v>188</v>
      </c>
      <c r="B199" s="435" t="s">
        <v>973</v>
      </c>
      <c r="C199" s="435" t="s">
        <v>974</v>
      </c>
      <c r="D199" s="176" t="s">
        <v>487</v>
      </c>
      <c r="E199" s="241">
        <v>1</v>
      </c>
      <c r="F199" s="414">
        <v>2.5</v>
      </c>
      <c r="G199" s="241"/>
      <c r="H199" s="241"/>
      <c r="I199" s="241">
        <v>1</v>
      </c>
      <c r="J199" s="414">
        <v>2.5</v>
      </c>
      <c r="K199" s="176"/>
      <c r="L199" s="176"/>
      <c r="M199" s="428"/>
      <c r="N199" s="411"/>
      <c r="O199" s="411"/>
    </row>
    <row r="200" spans="1:15" ht="17.25" customHeight="1">
      <c r="A200" s="423">
        <v>189</v>
      </c>
      <c r="B200" s="435" t="s">
        <v>975</v>
      </c>
      <c r="C200" s="435" t="s">
        <v>976</v>
      </c>
      <c r="D200" s="176" t="s">
        <v>487</v>
      </c>
      <c r="E200" s="241">
        <v>1</v>
      </c>
      <c r="F200" s="414">
        <v>12.7</v>
      </c>
      <c r="G200" s="241"/>
      <c r="H200" s="241"/>
      <c r="I200" s="241">
        <v>1</v>
      </c>
      <c r="J200" s="414">
        <v>12.7</v>
      </c>
      <c r="K200" s="176"/>
      <c r="L200" s="176"/>
      <c r="M200" s="428"/>
      <c r="N200" s="411"/>
      <c r="O200" s="411"/>
    </row>
    <row r="201" spans="1:15" ht="17.25" customHeight="1">
      <c r="A201" s="423">
        <v>190</v>
      </c>
      <c r="B201" s="435" t="s">
        <v>977</v>
      </c>
      <c r="C201" s="435" t="s">
        <v>978</v>
      </c>
      <c r="D201" s="176" t="s">
        <v>487</v>
      </c>
      <c r="E201" s="241">
        <v>1</v>
      </c>
      <c r="F201" s="414">
        <v>2.8</v>
      </c>
      <c r="G201" s="241"/>
      <c r="H201" s="241"/>
      <c r="I201" s="241">
        <v>1</v>
      </c>
      <c r="J201" s="414">
        <v>2.8</v>
      </c>
      <c r="K201" s="176"/>
      <c r="L201" s="176"/>
      <c r="M201" s="428"/>
      <c r="N201" s="411"/>
      <c r="O201" s="411"/>
    </row>
    <row r="202" spans="1:15" ht="17.25" customHeight="1">
      <c r="A202" s="423">
        <v>191</v>
      </c>
      <c r="B202" s="435" t="s">
        <v>979</v>
      </c>
      <c r="C202" s="435" t="s">
        <v>980</v>
      </c>
      <c r="D202" s="176" t="s">
        <v>487</v>
      </c>
      <c r="E202" s="241">
        <v>1</v>
      </c>
      <c r="F202" s="414">
        <v>3.9</v>
      </c>
      <c r="G202" s="241"/>
      <c r="H202" s="241"/>
      <c r="I202" s="241">
        <v>1</v>
      </c>
      <c r="J202" s="414">
        <v>3.9</v>
      </c>
      <c r="K202" s="176"/>
      <c r="L202" s="176"/>
      <c r="M202" s="428"/>
      <c r="N202" s="411"/>
      <c r="O202" s="411"/>
    </row>
    <row r="203" spans="1:15" ht="17.25" customHeight="1">
      <c r="A203" s="423">
        <v>192</v>
      </c>
      <c r="B203" s="435" t="s">
        <v>981</v>
      </c>
      <c r="C203" s="435" t="s">
        <v>982</v>
      </c>
      <c r="D203" s="176" t="s">
        <v>487</v>
      </c>
      <c r="E203" s="241">
        <v>1</v>
      </c>
      <c r="F203" s="414">
        <v>2.9</v>
      </c>
      <c r="G203" s="241"/>
      <c r="H203" s="241"/>
      <c r="I203" s="241">
        <v>1</v>
      </c>
      <c r="J203" s="414">
        <v>2.9</v>
      </c>
      <c r="K203" s="176"/>
      <c r="L203" s="176"/>
      <c r="M203" s="428"/>
      <c r="N203" s="411"/>
      <c r="O203" s="411"/>
    </row>
    <row r="204" spans="1:15" ht="17.25" customHeight="1">
      <c r="A204" s="423">
        <v>193</v>
      </c>
      <c r="B204" s="435" t="s">
        <v>983</v>
      </c>
      <c r="C204" s="435" t="s">
        <v>984</v>
      </c>
      <c r="D204" s="176" t="s">
        <v>487</v>
      </c>
      <c r="E204" s="241">
        <v>1</v>
      </c>
      <c r="F204" s="414">
        <v>4.4000000000000004</v>
      </c>
      <c r="G204" s="241"/>
      <c r="H204" s="241"/>
      <c r="I204" s="241">
        <v>1</v>
      </c>
      <c r="J204" s="414">
        <v>4.4000000000000004</v>
      </c>
      <c r="K204" s="176"/>
      <c r="L204" s="176"/>
      <c r="M204" s="428"/>
      <c r="N204" s="411"/>
      <c r="O204" s="411"/>
    </row>
    <row r="205" spans="1:15" ht="17.25" customHeight="1">
      <c r="A205" s="423">
        <v>194</v>
      </c>
      <c r="B205" s="435" t="s">
        <v>985</v>
      </c>
      <c r="C205" s="435" t="s">
        <v>986</v>
      </c>
      <c r="D205" s="176" t="s">
        <v>487</v>
      </c>
      <c r="E205" s="241">
        <v>1</v>
      </c>
      <c r="F205" s="241">
        <v>2.1</v>
      </c>
      <c r="G205" s="176"/>
      <c r="H205" s="176"/>
      <c r="I205" s="241">
        <v>1</v>
      </c>
      <c r="J205" s="241">
        <v>2.1</v>
      </c>
      <c r="K205" s="176"/>
      <c r="L205" s="176"/>
      <c r="M205" s="428"/>
      <c r="N205" s="411"/>
      <c r="O205" s="411"/>
    </row>
    <row r="206" spans="1:15" ht="17.25" customHeight="1">
      <c r="A206" s="423">
        <v>195</v>
      </c>
      <c r="B206" s="430" t="s">
        <v>987</v>
      </c>
      <c r="C206" s="430" t="s">
        <v>988</v>
      </c>
      <c r="D206" s="176" t="s">
        <v>487</v>
      </c>
      <c r="E206" s="241">
        <v>1</v>
      </c>
      <c r="F206" s="414">
        <v>3.3</v>
      </c>
      <c r="G206" s="241"/>
      <c r="H206" s="241"/>
      <c r="I206" s="241">
        <v>1</v>
      </c>
      <c r="J206" s="414">
        <v>3.3</v>
      </c>
      <c r="K206" s="176"/>
      <c r="L206" s="176"/>
      <c r="M206" s="428"/>
      <c r="N206" s="411"/>
      <c r="O206" s="411"/>
    </row>
    <row r="207" spans="1:15" ht="17.25" customHeight="1">
      <c r="A207" s="324">
        <v>196</v>
      </c>
      <c r="B207" s="435" t="s">
        <v>989</v>
      </c>
      <c r="C207" s="435" t="s">
        <v>990</v>
      </c>
      <c r="D207" s="176" t="s">
        <v>487</v>
      </c>
      <c r="E207" s="241">
        <v>1</v>
      </c>
      <c r="F207" s="241">
        <v>3.2</v>
      </c>
      <c r="G207" s="176"/>
      <c r="H207" s="176"/>
      <c r="I207" s="241">
        <v>1</v>
      </c>
      <c r="J207" s="241">
        <v>3.2</v>
      </c>
      <c r="K207" s="176"/>
      <c r="L207" s="176"/>
      <c r="M207" s="406"/>
      <c r="N207" s="447"/>
      <c r="O207" s="447"/>
    </row>
    <row r="208" spans="1:15">
      <c r="A208" s="730" t="s">
        <v>325</v>
      </c>
      <c r="B208" s="730"/>
      <c r="C208" s="730"/>
      <c r="D208" s="730"/>
      <c r="E208" s="383"/>
      <c r="F208" s="383"/>
      <c r="G208" s="383"/>
      <c r="H208" s="383"/>
      <c r="I208" s="383"/>
      <c r="J208" s="383"/>
      <c r="K208" s="383"/>
      <c r="L208" s="384"/>
      <c r="M208" s="387"/>
      <c r="N208" s="254"/>
      <c r="O208" s="384" t="s">
        <v>294</v>
      </c>
    </row>
    <row r="209" spans="1:15">
      <c r="A209" s="731" t="s">
        <v>312</v>
      </c>
      <c r="B209" s="723" t="s">
        <v>313</v>
      </c>
      <c r="C209" s="723" t="s">
        <v>326</v>
      </c>
      <c r="D209" s="723" t="s">
        <v>315</v>
      </c>
      <c r="E209" s="723" t="s">
        <v>316</v>
      </c>
      <c r="F209" s="723"/>
      <c r="G209" s="723" t="s">
        <v>317</v>
      </c>
      <c r="H209" s="723"/>
      <c r="I209" s="723" t="s">
        <v>318</v>
      </c>
      <c r="J209" s="723"/>
      <c r="K209" s="723" t="s">
        <v>319</v>
      </c>
      <c r="L209" s="723"/>
      <c r="M209" s="384"/>
      <c r="N209" s="724" t="s">
        <v>321</v>
      </c>
      <c r="O209" s="725"/>
    </row>
    <row r="210" spans="1:15">
      <c r="A210" s="731"/>
      <c r="B210" s="723"/>
      <c r="C210" s="723"/>
      <c r="D210" s="723"/>
      <c r="E210" s="723"/>
      <c r="F210" s="723"/>
      <c r="G210" s="723"/>
      <c r="H210" s="723"/>
      <c r="I210" s="723"/>
      <c r="J210" s="723"/>
      <c r="K210" s="723"/>
      <c r="L210" s="723"/>
      <c r="M210" s="728" t="s">
        <v>320</v>
      </c>
      <c r="N210" s="726"/>
      <c r="O210" s="727"/>
    </row>
    <row r="211" spans="1:15" ht="25.5">
      <c r="A211" s="731"/>
      <c r="B211" s="723"/>
      <c r="C211" s="723"/>
      <c r="D211" s="723"/>
      <c r="E211" s="385" t="s">
        <v>322</v>
      </c>
      <c r="F211" s="385" t="s">
        <v>323</v>
      </c>
      <c r="G211" s="385" t="s">
        <v>322</v>
      </c>
      <c r="H211" s="385" t="s">
        <v>323</v>
      </c>
      <c r="I211" s="385" t="s">
        <v>322</v>
      </c>
      <c r="J211" s="385" t="s">
        <v>323</v>
      </c>
      <c r="K211" s="385" t="s">
        <v>322</v>
      </c>
      <c r="L211" s="385" t="s">
        <v>323</v>
      </c>
      <c r="M211" s="729"/>
      <c r="N211" s="385" t="s">
        <v>322</v>
      </c>
      <c r="O211" s="385" t="s">
        <v>323</v>
      </c>
    </row>
    <row r="212" spans="1:15">
      <c r="A212" s="389">
        <v>1</v>
      </c>
      <c r="B212" s="390">
        <v>2</v>
      </c>
      <c r="C212" s="390">
        <v>3</v>
      </c>
      <c r="D212" s="390">
        <v>4</v>
      </c>
      <c r="E212" s="390">
        <v>5</v>
      </c>
      <c r="F212" s="390">
        <v>6</v>
      </c>
      <c r="G212" s="390">
        <v>7</v>
      </c>
      <c r="H212" s="390">
        <v>8</v>
      </c>
      <c r="I212" s="390">
        <v>9</v>
      </c>
      <c r="J212" s="390">
        <v>10</v>
      </c>
      <c r="K212" s="390">
        <v>11</v>
      </c>
      <c r="L212" s="390">
        <v>12</v>
      </c>
      <c r="M212" s="386" t="s">
        <v>324</v>
      </c>
      <c r="N212" s="391">
        <v>14</v>
      </c>
      <c r="O212" s="391">
        <v>15</v>
      </c>
    </row>
    <row r="213" spans="1:15">
      <c r="A213" s="392" t="s">
        <v>488</v>
      </c>
      <c r="B213" s="393">
        <v>0</v>
      </c>
      <c r="C213" s="393">
        <v>0</v>
      </c>
      <c r="D213" s="393">
        <v>0</v>
      </c>
      <c r="E213" s="393">
        <v>0</v>
      </c>
      <c r="F213" s="393">
        <v>0</v>
      </c>
      <c r="G213" s="393">
        <v>0</v>
      </c>
      <c r="H213" s="393">
        <v>0</v>
      </c>
      <c r="I213" s="393">
        <v>0</v>
      </c>
      <c r="J213" s="393">
        <v>0</v>
      </c>
      <c r="K213" s="393">
        <v>0</v>
      </c>
      <c r="L213" s="393">
        <v>0</v>
      </c>
      <c r="M213" s="389">
        <v>0</v>
      </c>
      <c r="N213" s="394">
        <v>0</v>
      </c>
      <c r="O213" s="394">
        <v>0</v>
      </c>
    </row>
    <row r="214" spans="1:15">
      <c r="A214" s="375"/>
      <c r="B214" s="376"/>
      <c r="C214" s="376"/>
      <c r="D214" s="376"/>
      <c r="E214" s="376"/>
      <c r="F214" s="376"/>
      <c r="G214" s="376"/>
      <c r="H214" s="376"/>
      <c r="I214" s="376"/>
      <c r="J214" s="376"/>
      <c r="K214" s="376"/>
      <c r="L214" s="376"/>
      <c r="M214" s="326"/>
      <c r="N214" s="377"/>
      <c r="O214" s="377"/>
    </row>
    <row r="215" spans="1:15" ht="15">
      <c r="B215" s="721" t="s">
        <v>707</v>
      </c>
      <c r="C215" s="721"/>
      <c r="D215" s="378"/>
      <c r="E215" s="721" t="s">
        <v>863</v>
      </c>
      <c r="F215" s="721"/>
    </row>
    <row r="216" spans="1:15" ht="18" customHeight="1">
      <c r="B216" s="379" t="s">
        <v>861</v>
      </c>
      <c r="C216" s="380"/>
      <c r="D216" s="380"/>
      <c r="E216" s="722" t="s">
        <v>862</v>
      </c>
      <c r="F216" s="722"/>
    </row>
  </sheetData>
  <mergeCells count="30">
    <mergeCell ref="N8:O9"/>
    <mergeCell ref="B5:H5"/>
    <mergeCell ref="A7:D7"/>
    <mergeCell ref="A8:A10"/>
    <mergeCell ref="B8:B10"/>
    <mergeCell ref="C8:C10"/>
    <mergeCell ref="D8:D10"/>
    <mergeCell ref="E8:F9"/>
    <mergeCell ref="I1:M1"/>
    <mergeCell ref="A2:M2"/>
    <mergeCell ref="B3:L3"/>
    <mergeCell ref="B4:H4"/>
    <mergeCell ref="K8:L9"/>
    <mergeCell ref="M8:M9"/>
    <mergeCell ref="I8:J9"/>
    <mergeCell ref="G8:H9"/>
    <mergeCell ref="I209:J210"/>
    <mergeCell ref="K209:L210"/>
    <mergeCell ref="N209:O210"/>
    <mergeCell ref="M210:M211"/>
    <mergeCell ref="A208:D208"/>
    <mergeCell ref="A209:A211"/>
    <mergeCell ref="B209:B211"/>
    <mergeCell ref="C209:C211"/>
    <mergeCell ref="D209:D211"/>
    <mergeCell ref="B215:C215"/>
    <mergeCell ref="E215:F215"/>
    <mergeCell ref="E216:F216"/>
    <mergeCell ref="E209:F210"/>
    <mergeCell ref="G209:H210"/>
  </mergeCells>
  <phoneticPr fontId="3" type="noConversion"/>
  <pageMargins left="0" right="0" top="0.39370078740157483" bottom="0.39370078740157483" header="0.51181102362204722" footer="0.51181102362204722"/>
  <pageSetup paperSize="9" scale="8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F17"/>
  <sheetViews>
    <sheetView workbookViewId="0">
      <selection activeCell="A16" sqref="A16:A17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6" ht="31.5" customHeight="1">
      <c r="A1" s="174"/>
      <c r="B1" s="174"/>
      <c r="C1" s="716" t="s">
        <v>327</v>
      </c>
      <c r="D1" s="716"/>
    </row>
    <row r="2" spans="1:6" ht="75" customHeight="1">
      <c r="A2" s="733" t="s">
        <v>305</v>
      </c>
      <c r="B2" s="733"/>
      <c r="C2" s="733"/>
      <c r="D2" s="733"/>
    </row>
    <row r="3" spans="1:6" ht="20.25" customHeight="1">
      <c r="A3" s="737" t="s">
        <v>704</v>
      </c>
      <c r="B3" s="737"/>
      <c r="C3" s="737"/>
      <c r="D3" s="737"/>
    </row>
    <row r="4" spans="1:6" ht="27" customHeight="1">
      <c r="A4" s="738" t="s">
        <v>302</v>
      </c>
      <c r="B4" s="738"/>
      <c r="C4" s="738"/>
      <c r="D4" s="738"/>
    </row>
    <row r="5" spans="1:6" ht="57" customHeight="1">
      <c r="A5" s="236" t="s">
        <v>303</v>
      </c>
      <c r="B5" s="236" t="s">
        <v>304</v>
      </c>
      <c r="C5" s="236" t="s">
        <v>869</v>
      </c>
      <c r="D5" s="236" t="s">
        <v>538</v>
      </c>
    </row>
    <row r="6" spans="1:6" ht="63" customHeight="1">
      <c r="A6" s="237" t="s">
        <v>306</v>
      </c>
      <c r="B6" s="238"/>
      <c r="C6" s="316">
        <f>SUM(C8:C11)</f>
        <v>1921</v>
      </c>
      <c r="D6" s="316">
        <f>SUM(D8:D11)</f>
        <v>2915.2</v>
      </c>
      <c r="F6" s="307"/>
    </row>
    <row r="7" spans="1:6">
      <c r="A7" s="239" t="s">
        <v>307</v>
      </c>
      <c r="B7" s="176"/>
      <c r="C7" s="240"/>
      <c r="D7" s="241"/>
    </row>
    <row r="8" spans="1:6" ht="29.25" customHeight="1">
      <c r="A8" s="239" t="s">
        <v>539</v>
      </c>
      <c r="B8" s="242"/>
      <c r="C8" s="243"/>
      <c r="D8" s="244"/>
    </row>
    <row r="9" spans="1:6" ht="34.5" customHeight="1">
      <c r="A9" s="239" t="s">
        <v>308</v>
      </c>
      <c r="B9" s="176" t="s">
        <v>536</v>
      </c>
      <c r="C9" s="397">
        <v>918</v>
      </c>
      <c r="D9" s="398">
        <v>1768</v>
      </c>
    </row>
    <row r="10" spans="1:6" ht="24" customHeight="1">
      <c r="A10" s="239" t="s">
        <v>309</v>
      </c>
      <c r="B10" s="176" t="s">
        <v>702</v>
      </c>
      <c r="C10" s="397">
        <v>969</v>
      </c>
      <c r="D10" s="398">
        <v>1132.2</v>
      </c>
    </row>
    <row r="11" spans="1:6" ht="24" customHeight="1">
      <c r="A11" s="239" t="s">
        <v>537</v>
      </c>
      <c r="B11" s="176" t="s">
        <v>703</v>
      </c>
      <c r="C11" s="397">
        <v>34</v>
      </c>
      <c r="D11" s="398">
        <v>15</v>
      </c>
    </row>
    <row r="12" spans="1:6" ht="50.25" customHeight="1">
      <c r="A12" s="237" t="s">
        <v>310</v>
      </c>
      <c r="B12" s="242"/>
      <c r="C12" s="243"/>
      <c r="D12" s="244"/>
    </row>
    <row r="13" spans="1:6">
      <c r="A13" s="245"/>
      <c r="B13" s="246"/>
      <c r="C13" s="247"/>
      <c r="D13" s="247"/>
    </row>
    <row r="14" spans="1:6" ht="30.75" customHeight="1">
      <c r="A14" s="248" t="s">
        <v>491</v>
      </c>
      <c r="B14" s="248"/>
      <c r="C14" s="248"/>
      <c r="D14" s="249"/>
    </row>
    <row r="16" spans="1:6">
      <c r="A16" s="249" t="s">
        <v>627</v>
      </c>
    </row>
    <row r="17" spans="1:1">
      <c r="A17" t="s">
        <v>551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B1" workbookViewId="0">
      <selection activeCell="E5" sqref="E5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231"/>
      <c r="D1" s="231"/>
      <c r="E1" s="716" t="s">
        <v>362</v>
      </c>
      <c r="F1" s="716"/>
      <c r="G1" s="177"/>
    </row>
    <row r="2" spans="3:7" ht="68.25" customHeight="1">
      <c r="C2" s="739" t="s">
        <v>331</v>
      </c>
      <c r="D2" s="739"/>
      <c r="E2" s="739"/>
      <c r="F2" s="739"/>
    </row>
    <row r="3" spans="3:7">
      <c r="C3" s="250"/>
      <c r="D3" s="231"/>
      <c r="E3" s="231"/>
      <c r="F3" s="231"/>
    </row>
    <row r="4" spans="3:7" ht="107.25" customHeight="1">
      <c r="C4" s="251" t="s">
        <v>328</v>
      </c>
      <c r="D4" s="251" t="s">
        <v>498</v>
      </c>
      <c r="E4" s="251" t="s">
        <v>329</v>
      </c>
      <c r="F4" s="251" t="s">
        <v>330</v>
      </c>
    </row>
    <row r="5" spans="3:7" ht="51.75" customHeight="1">
      <c r="C5" s="252" t="s">
        <v>486</v>
      </c>
      <c r="D5" s="371">
        <f>-('1. Фін результат'!F79+'6.1. Інша інфо_1'!I45+'6.1. Інша інфо_1'!I46)/'6.1. Інша інфо_1'!G43/3*1000*1.2</f>
        <v>5.2457758837919259</v>
      </c>
      <c r="E5" s="371">
        <f>'6.1. Інша інфо_1'!H43*1.2</f>
        <v>5.1119778252017554</v>
      </c>
      <c r="F5" s="372">
        <f>E5/D5</f>
        <v>0.97449413365073956</v>
      </c>
    </row>
    <row r="6" spans="3:7" ht="27" customHeight="1">
      <c r="C6" s="252"/>
      <c r="D6" s="252"/>
      <c r="E6" s="252"/>
      <c r="F6" s="252"/>
    </row>
    <row r="7" spans="3:7" ht="28.5" customHeight="1">
      <c r="C7" s="252"/>
      <c r="D7" s="252"/>
      <c r="E7" s="252"/>
      <c r="F7" s="252"/>
    </row>
    <row r="8" spans="3:7" ht="36" customHeight="1">
      <c r="C8" s="252"/>
      <c r="D8" s="252"/>
      <c r="E8" s="252"/>
      <c r="F8" s="252"/>
    </row>
    <row r="10" spans="3:7">
      <c r="C10" s="248" t="s">
        <v>491</v>
      </c>
    </row>
    <row r="12" spans="3:7">
      <c r="C12" s="249" t="s">
        <v>492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workbookViewId="0">
      <selection activeCell="C2" sqref="C2"/>
    </sheetView>
  </sheetViews>
  <sheetFormatPr defaultRowHeight="12.75"/>
  <cols>
    <col min="1" max="1" width="56.28515625" customWidth="1"/>
    <col min="2" max="2" width="10.28515625" customWidth="1"/>
  </cols>
  <sheetData>
    <row r="1" spans="1:7" ht="14.25">
      <c r="A1" s="740" t="s">
        <v>870</v>
      </c>
      <c r="B1" s="740"/>
      <c r="C1" s="740"/>
    </row>
    <row r="2" spans="1:7" ht="25.5">
      <c r="A2" s="312" t="s">
        <v>540</v>
      </c>
      <c r="B2" s="287">
        <v>1000</v>
      </c>
      <c r="C2" s="288">
        <f>SUM(C3:C8)</f>
        <v>12048</v>
      </c>
      <c r="D2" s="353">
        <f>'1. Фін результат'!F7</f>
        <v>12048</v>
      </c>
      <c r="E2" s="330"/>
      <c r="F2" s="330"/>
      <c r="G2" s="330"/>
    </row>
    <row r="3" spans="1:7" ht="12" customHeight="1">
      <c r="A3" s="306" t="s">
        <v>502</v>
      </c>
      <c r="B3" s="289"/>
      <c r="C3" s="290">
        <v>11336</v>
      </c>
      <c r="D3" s="353"/>
      <c r="E3" s="330"/>
      <c r="F3" s="330"/>
      <c r="G3" s="330"/>
    </row>
    <row r="4" spans="1:7" ht="12" customHeight="1">
      <c r="A4" s="306" t="s">
        <v>503</v>
      </c>
      <c r="B4" s="289"/>
      <c r="C4" s="290">
        <v>134</v>
      </c>
      <c r="D4" s="353"/>
      <c r="E4" s="330"/>
      <c r="F4" s="330"/>
      <c r="G4" s="330"/>
    </row>
    <row r="5" spans="1:7" ht="12" customHeight="1">
      <c r="A5" s="306" t="s">
        <v>504</v>
      </c>
      <c r="B5" s="289"/>
      <c r="C5" s="290"/>
      <c r="D5" s="353"/>
      <c r="E5" s="330"/>
      <c r="F5" s="330"/>
      <c r="G5" s="330"/>
    </row>
    <row r="6" spans="1:7" ht="12" customHeight="1">
      <c r="A6" s="306" t="s">
        <v>505</v>
      </c>
      <c r="B6" s="289"/>
      <c r="C6" s="290">
        <v>-8</v>
      </c>
      <c r="D6" s="353"/>
      <c r="E6" s="330"/>
      <c r="F6" s="330"/>
      <c r="G6" s="330"/>
    </row>
    <row r="7" spans="1:7" ht="12" customHeight="1">
      <c r="A7" s="306" t="s">
        <v>506</v>
      </c>
      <c r="B7" s="289"/>
      <c r="C7" s="290">
        <v>51</v>
      </c>
      <c r="D7" s="353"/>
      <c r="E7" s="330"/>
      <c r="F7" s="330"/>
      <c r="G7" s="330"/>
    </row>
    <row r="8" spans="1:7" ht="12" customHeight="1">
      <c r="A8" s="306" t="s">
        <v>497</v>
      </c>
      <c r="B8" s="289"/>
      <c r="C8" s="290">
        <v>535</v>
      </c>
      <c r="D8" s="353"/>
      <c r="E8" s="330"/>
      <c r="F8" s="330"/>
      <c r="G8" s="330"/>
    </row>
    <row r="9" spans="1:7" ht="12" customHeight="1">
      <c r="A9" s="311" t="s">
        <v>508</v>
      </c>
      <c r="B9" s="294"/>
      <c r="C9" s="295"/>
      <c r="D9" s="353"/>
      <c r="E9" s="330"/>
      <c r="F9" s="330"/>
      <c r="G9" s="330"/>
    </row>
    <row r="10" spans="1:7" ht="12" customHeight="1">
      <c r="A10" s="315" t="s">
        <v>546</v>
      </c>
      <c r="B10" s="88">
        <v>1018</v>
      </c>
      <c r="C10" s="303">
        <f>SUM(C11:C20)</f>
        <v>2983</v>
      </c>
      <c r="D10" s="353">
        <f>'1. Фін результат'!F16</f>
        <v>-2983</v>
      </c>
      <c r="E10" s="330"/>
      <c r="F10" s="330"/>
      <c r="G10" s="330"/>
    </row>
    <row r="11" spans="1:7" ht="12" customHeight="1">
      <c r="A11" s="306" t="s">
        <v>509</v>
      </c>
      <c r="B11" s="289"/>
      <c r="C11" s="308">
        <v>1068</v>
      </c>
      <c r="D11" s="353"/>
      <c r="E11" s="330"/>
      <c r="F11" s="330"/>
      <c r="G11" s="330"/>
    </row>
    <row r="12" spans="1:7" ht="12" customHeight="1">
      <c r="A12" s="306" t="s">
        <v>510</v>
      </c>
      <c r="B12" s="289"/>
      <c r="C12" s="308">
        <v>145</v>
      </c>
      <c r="D12" s="353"/>
      <c r="E12" s="330"/>
      <c r="F12" s="330"/>
      <c r="G12" s="330"/>
    </row>
    <row r="13" spans="1:7" ht="12" customHeight="1">
      <c r="A13" s="306" t="s">
        <v>511</v>
      </c>
      <c r="B13" s="289"/>
      <c r="C13" s="308">
        <f>309+98</f>
        <v>407</v>
      </c>
      <c r="D13" s="353"/>
      <c r="E13" s="330"/>
      <c r="F13" s="330"/>
      <c r="G13" s="330"/>
    </row>
    <row r="14" spans="1:7" ht="12" customHeight="1">
      <c r="A14" s="298" t="s">
        <v>713</v>
      </c>
      <c r="B14" s="289"/>
      <c r="C14" s="308">
        <v>1100</v>
      </c>
      <c r="D14" s="353"/>
      <c r="E14" s="330"/>
      <c r="F14" s="330"/>
      <c r="G14" s="330"/>
    </row>
    <row r="15" spans="1:7" ht="12" customHeight="1">
      <c r="A15" s="306" t="s">
        <v>512</v>
      </c>
      <c r="B15" s="289"/>
      <c r="C15" s="308">
        <v>7</v>
      </c>
      <c r="D15" s="353"/>
      <c r="E15" s="330"/>
      <c r="F15" s="330"/>
      <c r="G15" s="330"/>
    </row>
    <row r="16" spans="1:7" ht="12" customHeight="1">
      <c r="A16" s="306" t="s">
        <v>513</v>
      </c>
      <c r="B16" s="289"/>
      <c r="C16" s="308">
        <v>35</v>
      </c>
      <c r="D16" s="353"/>
      <c r="E16" s="330"/>
      <c r="F16" s="330"/>
      <c r="G16" s="330"/>
    </row>
    <row r="17" spans="1:7" ht="12" customHeight="1">
      <c r="A17" s="306" t="s">
        <v>514</v>
      </c>
      <c r="B17" s="289"/>
      <c r="C17" s="308">
        <v>8</v>
      </c>
      <c r="D17" s="353"/>
      <c r="E17" s="330"/>
      <c r="F17" s="330"/>
      <c r="G17" s="330"/>
    </row>
    <row r="18" spans="1:7" ht="12" customHeight="1">
      <c r="A18" s="306" t="s">
        <v>515</v>
      </c>
      <c r="B18" s="289"/>
      <c r="C18" s="302">
        <v>180</v>
      </c>
      <c r="D18" s="353"/>
      <c r="E18" s="330"/>
      <c r="F18" s="330"/>
      <c r="G18" s="330"/>
    </row>
    <row r="19" spans="1:7" ht="12" customHeight="1">
      <c r="A19" s="298" t="s">
        <v>871</v>
      </c>
      <c r="B19" s="289"/>
      <c r="C19" s="302">
        <v>7</v>
      </c>
      <c r="D19" s="353"/>
      <c r="E19" s="330"/>
      <c r="F19" s="330"/>
      <c r="G19" s="330"/>
    </row>
    <row r="20" spans="1:7" ht="12" customHeight="1">
      <c r="A20" s="306" t="s">
        <v>516</v>
      </c>
      <c r="B20" s="289"/>
      <c r="C20" s="308">
        <v>26</v>
      </c>
      <c r="D20" s="353"/>
      <c r="E20" s="330"/>
      <c r="F20" s="330"/>
      <c r="G20" s="330"/>
    </row>
    <row r="21" spans="1:7" ht="12" customHeight="1">
      <c r="A21" s="291" t="s">
        <v>507</v>
      </c>
      <c r="B21" s="97">
        <v>1030</v>
      </c>
      <c r="C21" s="292">
        <f>C22</f>
        <v>101</v>
      </c>
      <c r="D21" s="353">
        <f>'1. Фін результат'!F19</f>
        <v>101</v>
      </c>
      <c r="E21" s="330"/>
      <c r="F21" s="330"/>
      <c r="G21" s="330"/>
    </row>
    <row r="22" spans="1:7" ht="12" customHeight="1">
      <c r="A22" s="306" t="s">
        <v>532</v>
      </c>
      <c r="B22" s="289"/>
      <c r="C22" s="302">
        <v>101</v>
      </c>
      <c r="D22" s="353"/>
      <c r="E22" s="330"/>
      <c r="F22" s="330"/>
      <c r="G22" s="330"/>
    </row>
    <row r="23" spans="1:7" ht="12" customHeight="1">
      <c r="A23" s="293" t="s">
        <v>517</v>
      </c>
      <c r="B23" s="294"/>
      <c r="C23" s="296"/>
      <c r="D23" s="353"/>
      <c r="E23" s="330"/>
      <c r="F23" s="330"/>
      <c r="G23" s="330"/>
    </row>
    <row r="24" spans="1:7" ht="12" customHeight="1">
      <c r="A24" s="291" t="s">
        <v>545</v>
      </c>
      <c r="B24" s="97">
        <v>1062</v>
      </c>
      <c r="C24" s="297">
        <f>SUM(C25:C34)</f>
        <v>118</v>
      </c>
      <c r="D24" s="353">
        <f>'1. Фін результат'!F43</f>
        <v>-118</v>
      </c>
      <c r="E24" s="330"/>
      <c r="F24" s="330"/>
      <c r="G24" s="330"/>
    </row>
    <row r="25" spans="1:7" ht="12" customHeight="1">
      <c r="A25" s="217" t="s">
        <v>872</v>
      </c>
      <c r="B25" s="97"/>
      <c r="C25" s="395">
        <v>3</v>
      </c>
      <c r="D25" s="353"/>
      <c r="E25" s="330"/>
      <c r="F25" s="330"/>
      <c r="G25" s="330"/>
    </row>
    <row r="26" spans="1:7" ht="12" customHeight="1">
      <c r="A26" s="298" t="s">
        <v>518</v>
      </c>
      <c r="B26" s="299"/>
      <c r="C26" s="308">
        <v>12</v>
      </c>
      <c r="D26" s="353"/>
      <c r="E26" s="330"/>
      <c r="F26" s="330"/>
      <c r="G26" s="330"/>
    </row>
    <row r="27" spans="1:7" ht="12" customHeight="1">
      <c r="A27" s="298" t="s">
        <v>519</v>
      </c>
      <c r="B27" s="299"/>
      <c r="C27" s="308">
        <v>2</v>
      </c>
      <c r="D27" s="353"/>
      <c r="E27" s="330"/>
      <c r="F27" s="330"/>
      <c r="G27" s="330"/>
    </row>
    <row r="28" spans="1:7" ht="12" customHeight="1">
      <c r="A28" s="298" t="s">
        <v>520</v>
      </c>
      <c r="B28" s="299"/>
      <c r="C28" s="308">
        <v>44</v>
      </c>
      <c r="D28" s="353"/>
      <c r="E28" s="330"/>
      <c r="F28" s="330"/>
      <c r="G28" s="330"/>
    </row>
    <row r="29" spans="1:7" ht="12" customHeight="1">
      <c r="A29" s="298" t="s">
        <v>521</v>
      </c>
      <c r="B29" s="301"/>
      <c r="C29" s="302">
        <v>21</v>
      </c>
      <c r="D29" s="353"/>
      <c r="E29" s="330"/>
      <c r="F29" s="330"/>
      <c r="G29" s="330"/>
    </row>
    <row r="30" spans="1:7" ht="12" customHeight="1">
      <c r="A30" s="298" t="s">
        <v>522</v>
      </c>
      <c r="B30" s="301"/>
      <c r="C30" s="308">
        <v>66</v>
      </c>
      <c r="D30" s="353"/>
      <c r="E30" s="330"/>
      <c r="F30" s="330"/>
      <c r="G30" s="330"/>
    </row>
    <row r="31" spans="1:7" ht="12" customHeight="1">
      <c r="A31" s="298" t="s">
        <v>523</v>
      </c>
      <c r="B31" s="301"/>
      <c r="C31" s="308">
        <v>16</v>
      </c>
      <c r="D31" s="353"/>
      <c r="E31" s="330"/>
      <c r="F31" s="330"/>
      <c r="G31" s="330"/>
    </row>
    <row r="32" spans="1:7" ht="12" customHeight="1">
      <c r="A32" s="298" t="s">
        <v>524</v>
      </c>
      <c r="B32" s="301"/>
      <c r="C32" s="308">
        <v>8</v>
      </c>
      <c r="D32" s="353"/>
      <c r="E32" s="330"/>
      <c r="F32" s="330"/>
      <c r="G32" s="330"/>
    </row>
    <row r="33" spans="1:7" ht="12" customHeight="1">
      <c r="A33" s="306" t="s">
        <v>516</v>
      </c>
      <c r="B33" s="289"/>
      <c r="C33" s="308">
        <v>13</v>
      </c>
      <c r="D33" s="353"/>
      <c r="E33" s="330"/>
      <c r="F33" s="330"/>
      <c r="G33" s="330"/>
    </row>
    <row r="34" spans="1:7" ht="12" customHeight="1">
      <c r="A34" s="300" t="s">
        <v>515</v>
      </c>
      <c r="B34" s="301"/>
      <c r="C34" s="309">
        <v>-67</v>
      </c>
      <c r="D34" s="353"/>
      <c r="E34" s="330"/>
      <c r="F34" s="330"/>
      <c r="G34" s="330"/>
    </row>
    <row r="35" spans="1:7" ht="12" customHeight="1">
      <c r="A35" s="293" t="s">
        <v>525</v>
      </c>
      <c r="B35" s="294"/>
      <c r="C35" s="295"/>
      <c r="D35" s="353"/>
      <c r="E35" s="330"/>
      <c r="F35" s="330"/>
      <c r="G35" s="330"/>
    </row>
    <row r="36" spans="1:7" ht="12" customHeight="1">
      <c r="A36" s="291" t="s">
        <v>544</v>
      </c>
      <c r="B36" s="97">
        <v>1085</v>
      </c>
      <c r="C36" s="295">
        <f>SUM(C37:C38)</f>
        <v>27</v>
      </c>
      <c r="D36" s="353">
        <f>'1. Фін результат'!F57</f>
        <v>-27</v>
      </c>
      <c r="E36" s="330"/>
      <c r="F36" s="330"/>
      <c r="G36" s="330"/>
    </row>
    <row r="37" spans="1:7" ht="12" customHeight="1">
      <c r="A37" s="298" t="s">
        <v>526</v>
      </c>
      <c r="B37" s="301"/>
      <c r="C37" s="308">
        <v>4</v>
      </c>
      <c r="D37" s="353"/>
      <c r="E37" s="330"/>
      <c r="F37" s="330"/>
      <c r="G37" s="330"/>
    </row>
    <row r="38" spans="1:7" ht="12" customHeight="1">
      <c r="A38" s="298" t="s">
        <v>555</v>
      </c>
      <c r="B38" s="301"/>
      <c r="C38" s="308">
        <v>23</v>
      </c>
      <c r="D38" s="353"/>
      <c r="E38" s="330"/>
      <c r="F38" s="330"/>
      <c r="G38" s="330"/>
    </row>
    <row r="39" spans="1:7" ht="12" customHeight="1">
      <c r="A39" s="314" t="s">
        <v>543</v>
      </c>
      <c r="B39" s="108">
        <v>2146</v>
      </c>
      <c r="C39" s="295">
        <v>16</v>
      </c>
      <c r="D39" s="353">
        <f>'ІІ. Розр. з бюджетом'!F28</f>
        <v>16</v>
      </c>
      <c r="E39" s="330"/>
      <c r="F39" s="330"/>
      <c r="G39" s="330"/>
    </row>
    <row r="40" spans="1:7" ht="12" customHeight="1">
      <c r="A40" s="305" t="s">
        <v>529</v>
      </c>
      <c r="B40" s="108"/>
      <c r="C40" s="302">
        <v>16</v>
      </c>
      <c r="D40" s="353"/>
      <c r="E40" s="330"/>
      <c r="F40" s="330"/>
      <c r="G40" s="330"/>
    </row>
    <row r="41" spans="1:7" ht="12" customHeight="1">
      <c r="A41" s="306" t="s">
        <v>531</v>
      </c>
      <c r="B41" s="289"/>
      <c r="C41" s="302">
        <v>6</v>
      </c>
      <c r="D41" s="353"/>
      <c r="E41" s="330"/>
      <c r="F41" s="330"/>
      <c r="G41" s="330"/>
    </row>
    <row r="42" spans="1:7" ht="12" customHeight="1">
      <c r="A42" s="313" t="s">
        <v>541</v>
      </c>
      <c r="B42" s="215" t="s">
        <v>354</v>
      </c>
      <c r="C42" s="304">
        <f>SUM(C43:C48)</f>
        <v>4576</v>
      </c>
      <c r="D42" s="353">
        <f>'ІІІ. Рух грош. коштів'!F17</f>
        <v>-4579</v>
      </c>
      <c r="E42" s="330"/>
      <c r="F42" s="330">
        <v>3026</v>
      </c>
      <c r="G42" s="330"/>
    </row>
    <row r="43" spans="1:7" ht="12" customHeight="1">
      <c r="A43" s="306" t="s">
        <v>533</v>
      </c>
      <c r="B43" s="215"/>
      <c r="C43" s="310">
        <v>1682</v>
      </c>
      <c r="D43" s="353"/>
      <c r="E43" s="330"/>
      <c r="F43" s="330"/>
      <c r="G43" s="330"/>
    </row>
    <row r="44" spans="1:7" ht="12" customHeight="1">
      <c r="A44" s="298" t="s">
        <v>877</v>
      </c>
      <c r="B44" s="215"/>
      <c r="C44" s="310">
        <v>21</v>
      </c>
      <c r="D44" s="353"/>
      <c r="E44" s="330"/>
      <c r="F44" s="330"/>
      <c r="G44" s="330"/>
    </row>
    <row r="45" spans="1:7" ht="12" customHeight="1">
      <c r="A45" s="306" t="s">
        <v>534</v>
      </c>
      <c r="B45" s="215"/>
      <c r="C45" s="310">
        <v>1211</v>
      </c>
      <c r="D45" s="353"/>
      <c r="E45" s="330"/>
      <c r="F45" s="330"/>
      <c r="G45" s="330"/>
    </row>
    <row r="46" spans="1:7" ht="12" customHeight="1">
      <c r="A46" s="306" t="s">
        <v>529</v>
      </c>
      <c r="B46" s="215"/>
      <c r="C46" s="310">
        <f>'ІІ. Розр. з бюджетом'!F28</f>
        <v>16</v>
      </c>
      <c r="D46" s="353"/>
      <c r="E46" s="330"/>
      <c r="F46" s="330"/>
      <c r="G46" s="330"/>
    </row>
    <row r="47" spans="1:7" ht="29.25" customHeight="1">
      <c r="A47" s="328" t="s">
        <v>530</v>
      </c>
      <c r="B47" s="215"/>
      <c r="C47" s="310">
        <v>1548</v>
      </c>
      <c r="D47" s="353"/>
      <c r="E47" s="330"/>
      <c r="F47" s="330"/>
      <c r="G47" s="330"/>
    </row>
    <row r="48" spans="1:7" ht="14.25" customHeight="1">
      <c r="A48" s="328" t="s">
        <v>705</v>
      </c>
      <c r="B48" s="215"/>
      <c r="C48" s="310">
        <v>98</v>
      </c>
      <c r="D48" s="353"/>
      <c r="E48" s="330"/>
      <c r="F48" s="330"/>
      <c r="G48" s="330"/>
    </row>
    <row r="49" spans="1:7" ht="14.25" customHeight="1">
      <c r="A49" s="399" t="s">
        <v>873</v>
      </c>
      <c r="B49" s="215" t="s">
        <v>356</v>
      </c>
      <c r="C49" s="400">
        <f>C50</f>
        <v>18</v>
      </c>
      <c r="D49" s="353">
        <f>'ІІІ. Рух грош. коштів'!F18</f>
        <v>-18</v>
      </c>
      <c r="E49" s="330"/>
      <c r="F49" s="330"/>
      <c r="G49" s="330"/>
    </row>
    <row r="50" spans="1:7" ht="14.25" customHeight="1">
      <c r="A50" s="328" t="s">
        <v>874</v>
      </c>
      <c r="B50" s="215"/>
      <c r="C50" s="310">
        <v>18</v>
      </c>
      <c r="D50" s="353"/>
      <c r="E50" s="330"/>
      <c r="F50" s="330"/>
      <c r="G50" s="330"/>
    </row>
    <row r="51" spans="1:7" ht="11.25" customHeight="1">
      <c r="A51" s="291" t="s">
        <v>542</v>
      </c>
      <c r="B51" s="112">
        <v>4020</v>
      </c>
      <c r="C51" s="304">
        <f>C54+C53</f>
        <v>16</v>
      </c>
      <c r="D51" s="353">
        <f>'IV. Кап. інвестиції'!F10</f>
        <v>16</v>
      </c>
      <c r="E51" s="330"/>
      <c r="F51" s="330"/>
      <c r="G51" s="330"/>
    </row>
    <row r="52" spans="1:7" ht="12" hidden="1" customHeight="1">
      <c r="A52" s="217" t="s">
        <v>628</v>
      </c>
      <c r="B52" s="112"/>
      <c r="C52" s="310"/>
      <c r="D52" s="353"/>
      <c r="E52" s="330"/>
      <c r="F52" s="330"/>
      <c r="G52" s="330"/>
    </row>
    <row r="53" spans="1:7" ht="12" customHeight="1">
      <c r="A53" s="217" t="s">
        <v>714</v>
      </c>
      <c r="B53" s="112"/>
      <c r="C53" s="310">
        <v>10</v>
      </c>
      <c r="D53" s="353"/>
      <c r="E53" s="330"/>
      <c r="F53" s="330"/>
      <c r="G53" s="330"/>
    </row>
    <row r="54" spans="1:7" ht="12" customHeight="1">
      <c r="A54" s="217" t="s">
        <v>878</v>
      </c>
      <c r="B54" s="112"/>
      <c r="C54" s="310">
        <v>6</v>
      </c>
      <c r="D54" s="353"/>
      <c r="E54" s="330"/>
      <c r="F54" s="330"/>
      <c r="G54" s="330"/>
    </row>
    <row r="55" spans="1:7" ht="25.5" customHeight="1">
      <c r="A55" s="741" t="s">
        <v>527</v>
      </c>
      <c r="B55" s="741"/>
      <c r="C55" s="741"/>
      <c r="D55" s="353"/>
    </row>
    <row r="56" spans="1:7" ht="15">
      <c r="A56" s="741" t="s">
        <v>535</v>
      </c>
      <c r="B56" s="741"/>
      <c r="C56" s="741"/>
    </row>
  </sheetData>
  <mergeCells count="3">
    <mergeCell ref="A1:C1"/>
    <mergeCell ref="A55:C55"/>
    <mergeCell ref="A56:C56"/>
  </mergeCells>
  <phoneticPr fontId="3" type="noConversion"/>
  <pageMargins left="1.299212598425197" right="0.70866141732283472" top="0.78740157480314965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view="pageBreakPreview" topLeftCell="A10" zoomScale="75" zoomScaleNormal="60" zoomScaleSheetLayoutView="75" workbookViewId="0">
      <selection activeCell="G14" sqref="G14"/>
    </sheetView>
  </sheetViews>
  <sheetFormatPr defaultRowHeight="18.75" outlineLevelRow="1"/>
  <cols>
    <col min="1" max="1" width="64.28515625" style="2" customWidth="1"/>
    <col min="2" max="2" width="6.5703125" style="21" customWidth="1"/>
    <col min="3" max="3" width="14.85546875" style="21" customWidth="1"/>
    <col min="4" max="4" width="15" style="21" customWidth="1"/>
    <col min="5" max="5" width="14.5703125" style="21" customWidth="1"/>
    <col min="6" max="6" width="14.7109375" style="21" customWidth="1"/>
    <col min="7" max="7" width="32.5703125" style="21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464</v>
      </c>
      <c r="B1" s="18"/>
      <c r="D1" s="2"/>
      <c r="E1" s="2" t="s">
        <v>484</v>
      </c>
      <c r="F1" s="2"/>
      <c r="G1" s="2"/>
    </row>
    <row r="2" spans="1:10">
      <c r="B2" s="18"/>
      <c r="D2" s="2"/>
      <c r="E2" s="2" t="s">
        <v>472</v>
      </c>
      <c r="F2" s="2"/>
      <c r="G2" s="2"/>
    </row>
    <row r="3" spans="1:10" ht="18.75" customHeight="1">
      <c r="A3" s="473"/>
      <c r="B3" s="474"/>
      <c r="D3" s="18"/>
      <c r="E3" s="2" t="s">
        <v>473</v>
      </c>
      <c r="F3" s="2"/>
      <c r="G3" s="2"/>
    </row>
    <row r="4" spans="1:10" ht="42" customHeight="1">
      <c r="A4" s="21" t="s">
        <v>465</v>
      </c>
      <c r="D4" s="18"/>
      <c r="E4" s="481" t="s">
        <v>0</v>
      </c>
      <c r="F4" s="481"/>
      <c r="G4" s="481"/>
      <c r="J4" s="40"/>
    </row>
    <row r="5" spans="1:10" ht="18.75" customHeight="1">
      <c r="A5" s="256"/>
      <c r="B5" s="256"/>
      <c r="D5" s="18"/>
      <c r="E5" s="18"/>
      <c r="F5" s="18"/>
      <c r="G5" s="482"/>
      <c r="H5" s="482"/>
      <c r="I5" s="52"/>
      <c r="J5" s="52"/>
    </row>
    <row r="6" spans="1:10" ht="18.75" customHeight="1">
      <c r="A6" s="21"/>
      <c r="D6" s="18"/>
      <c r="E6" s="18"/>
      <c r="F6" s="18"/>
      <c r="G6" s="52"/>
      <c r="H6" s="52"/>
      <c r="I6" s="52"/>
      <c r="J6" s="52"/>
    </row>
    <row r="7" spans="1:10" ht="18.75" customHeight="1">
      <c r="A7" s="21"/>
      <c r="D7" s="18"/>
      <c r="E7" s="18"/>
      <c r="F7" s="18"/>
      <c r="G7" s="52"/>
      <c r="H7" s="52"/>
      <c r="I7" s="52"/>
      <c r="J7" s="52"/>
    </row>
    <row r="8" spans="1:10" ht="18.75" customHeight="1">
      <c r="A8" s="475" t="s">
        <v>466</v>
      </c>
      <c r="B8" s="475"/>
      <c r="D8" s="18"/>
      <c r="E8" s="18"/>
      <c r="F8" s="18"/>
      <c r="G8" s="482"/>
      <c r="H8" s="482"/>
      <c r="I8" s="482"/>
      <c r="J8" s="482"/>
    </row>
    <row r="9" spans="1:10" ht="18.75" customHeight="1">
      <c r="E9" s="1" t="s">
        <v>469</v>
      </c>
      <c r="F9" s="1"/>
      <c r="G9" s="1"/>
      <c r="H9" s="1"/>
    </row>
    <row r="10" spans="1:10" ht="57" customHeight="1">
      <c r="A10" s="52" t="s">
        <v>467</v>
      </c>
      <c r="C10" s="3"/>
      <c r="D10" s="22"/>
      <c r="E10" s="486" t="s">
        <v>880</v>
      </c>
      <c r="F10" s="486"/>
      <c r="G10" s="486"/>
      <c r="H10" s="257"/>
    </row>
    <row r="11" spans="1:10" ht="18.75" customHeight="1">
      <c r="A11" s="483"/>
      <c r="B11" s="483"/>
      <c r="C11" s="146"/>
      <c r="D11" s="146"/>
      <c r="E11" s="258" t="s">
        <v>470</v>
      </c>
      <c r="F11" s="258"/>
      <c r="G11" s="258"/>
      <c r="H11" s="258"/>
    </row>
    <row r="12" spans="1:10" ht="20.25" customHeight="1">
      <c r="A12" s="477" t="s">
        <v>468</v>
      </c>
      <c r="B12" s="477"/>
      <c r="D12" s="2"/>
      <c r="E12" s="257"/>
      <c r="F12" s="257"/>
      <c r="G12" s="257"/>
      <c r="H12" s="257"/>
    </row>
    <row r="13" spans="1:10" ht="19.5" customHeight="1">
      <c r="A13" s="476"/>
      <c r="B13" s="476"/>
      <c r="E13" s="258" t="s">
        <v>471</v>
      </c>
      <c r="F13" s="258"/>
      <c r="G13" s="258"/>
      <c r="H13" s="258"/>
    </row>
    <row r="14" spans="1:10" ht="19.5" customHeight="1">
      <c r="A14" s="21"/>
      <c r="E14" s="257"/>
      <c r="F14" s="257"/>
      <c r="G14" s="257"/>
      <c r="H14" s="257"/>
    </row>
    <row r="15" spans="1:10" ht="19.5" customHeight="1">
      <c r="A15" s="477"/>
      <c r="B15" s="477"/>
      <c r="C15" s="3"/>
      <c r="D15" s="18"/>
      <c r="E15" s="18"/>
      <c r="F15" s="18"/>
      <c r="G15" s="481"/>
      <c r="H15" s="481"/>
      <c r="I15" s="481"/>
      <c r="J15" s="481"/>
    </row>
    <row r="16" spans="1:10" ht="16.5" customHeight="1">
      <c r="A16" s="475" t="s">
        <v>466</v>
      </c>
      <c r="B16" s="475"/>
      <c r="C16" s="3"/>
      <c r="D16" s="18"/>
      <c r="E16" s="18"/>
      <c r="F16" s="18"/>
      <c r="G16" s="52"/>
      <c r="H16" s="52"/>
      <c r="I16" s="52"/>
      <c r="J16" s="52"/>
    </row>
    <row r="17" spans="1:10" ht="16.5" customHeight="1">
      <c r="A17" s="21"/>
      <c r="C17" s="3"/>
      <c r="D17" s="18"/>
      <c r="E17" s="18"/>
      <c r="F17" s="18"/>
      <c r="G17" s="52"/>
      <c r="H17" s="52"/>
      <c r="I17" s="52"/>
      <c r="J17" s="52"/>
    </row>
    <row r="18" spans="1:10" ht="18.75" customHeight="1">
      <c r="A18" s="475"/>
      <c r="B18" s="475"/>
      <c r="D18" s="18"/>
      <c r="E18" s="2" t="s">
        <v>466</v>
      </c>
      <c r="F18" s="2"/>
      <c r="G18" s="2"/>
    </row>
    <row r="19" spans="1:10" ht="18.75" customHeight="1">
      <c r="A19" s="21"/>
      <c r="D19" s="18"/>
      <c r="E19" s="2"/>
      <c r="F19" s="2"/>
      <c r="G19" s="2"/>
    </row>
    <row r="20" spans="1:10" ht="27.75" customHeight="1">
      <c r="A20" s="49"/>
      <c r="B20" s="479"/>
      <c r="C20" s="479"/>
      <c r="D20" s="479"/>
      <c r="E20" s="201"/>
      <c r="F20" s="202"/>
      <c r="G20" s="5" t="s">
        <v>183</v>
      </c>
    </row>
    <row r="21" spans="1:10" ht="34.5" customHeight="1">
      <c r="A21" s="480" t="s">
        <v>547</v>
      </c>
      <c r="B21" s="479"/>
      <c r="C21" s="479"/>
      <c r="D21" s="479"/>
      <c r="E21" s="479"/>
      <c r="F21" s="12" t="s">
        <v>96</v>
      </c>
      <c r="G21" s="5">
        <v>30664897</v>
      </c>
    </row>
    <row r="22" spans="1:10" ht="28.5" customHeight="1">
      <c r="A22" s="49" t="s">
        <v>9</v>
      </c>
      <c r="B22" s="479"/>
      <c r="C22" s="479"/>
      <c r="D22" s="479"/>
      <c r="E22" s="50"/>
      <c r="F22" s="12" t="s">
        <v>95</v>
      </c>
      <c r="G22" s="5"/>
    </row>
    <row r="23" spans="1:10" ht="27" customHeight="1">
      <c r="A23" s="49" t="s">
        <v>14</v>
      </c>
      <c r="B23" s="479"/>
      <c r="C23" s="479"/>
      <c r="D23" s="479"/>
      <c r="E23" s="50"/>
      <c r="F23" s="12" t="s">
        <v>94</v>
      </c>
      <c r="G23" s="5">
        <v>3210300000</v>
      </c>
    </row>
    <row r="24" spans="1:10" ht="27" customHeight="1">
      <c r="A24" s="53" t="s">
        <v>64</v>
      </c>
      <c r="B24" s="479"/>
      <c r="C24" s="479"/>
      <c r="D24" s="479"/>
      <c r="E24" s="55"/>
      <c r="F24" s="12" t="s">
        <v>7</v>
      </c>
      <c r="G24" s="5"/>
    </row>
    <row r="25" spans="1:10" ht="24.75" customHeight="1">
      <c r="A25" s="53" t="s">
        <v>11</v>
      </c>
      <c r="B25" s="479"/>
      <c r="C25" s="479"/>
      <c r="D25" s="479"/>
      <c r="E25" s="55"/>
      <c r="F25" s="12" t="s">
        <v>6</v>
      </c>
      <c r="G25" s="5"/>
    </row>
    <row r="26" spans="1:10" ht="33.75" customHeight="1">
      <c r="A26" s="53" t="s">
        <v>10</v>
      </c>
      <c r="B26" s="479"/>
      <c r="C26" s="479"/>
      <c r="D26" s="479"/>
      <c r="E26" s="55"/>
      <c r="F26" s="12" t="s">
        <v>8</v>
      </c>
      <c r="G26" s="5" t="s">
        <v>552</v>
      </c>
    </row>
    <row r="27" spans="1:10" ht="40.5" customHeight="1">
      <c r="A27" s="53" t="s">
        <v>238</v>
      </c>
      <c r="B27" s="479"/>
      <c r="C27" s="479"/>
      <c r="D27" s="479"/>
      <c r="E27" s="479" t="s">
        <v>134</v>
      </c>
      <c r="F27" s="484"/>
      <c r="G27" s="10"/>
    </row>
    <row r="28" spans="1:10" ht="36" customHeight="1">
      <c r="A28" s="53" t="s">
        <v>15</v>
      </c>
      <c r="B28" s="479"/>
      <c r="C28" s="479"/>
      <c r="D28" s="479"/>
      <c r="E28" s="479" t="s">
        <v>135</v>
      </c>
      <c r="F28" s="485"/>
      <c r="G28" s="10"/>
    </row>
    <row r="29" spans="1:10" ht="33" customHeight="1">
      <c r="A29" s="53" t="s">
        <v>879</v>
      </c>
      <c r="B29" s="479"/>
      <c r="C29" s="479"/>
      <c r="D29" s="479"/>
      <c r="E29" s="54"/>
      <c r="F29" s="54"/>
      <c r="G29" s="54"/>
    </row>
    <row r="30" spans="1:10" ht="30.75" customHeight="1">
      <c r="A30" s="480" t="s">
        <v>548</v>
      </c>
      <c r="B30" s="479"/>
      <c r="C30" s="479"/>
      <c r="D30" s="479"/>
      <c r="E30" s="479"/>
      <c r="F30" s="479"/>
      <c r="G30" s="479"/>
      <c r="H30" s="55"/>
    </row>
    <row r="31" spans="1:10" ht="34.5" customHeight="1">
      <c r="A31" s="286" t="s">
        <v>549</v>
      </c>
      <c r="B31" s="54"/>
      <c r="C31" s="54"/>
      <c r="D31" s="54"/>
      <c r="E31" s="54"/>
      <c r="F31" s="54"/>
      <c r="G31" s="54"/>
      <c r="H31" s="55"/>
    </row>
    <row r="32" spans="1:10" ht="28.5" customHeight="1">
      <c r="A32" s="286" t="s">
        <v>550</v>
      </c>
      <c r="B32" s="54"/>
      <c r="C32" s="54"/>
      <c r="D32" s="54"/>
      <c r="E32" s="54"/>
      <c r="F32" s="54"/>
      <c r="G32" s="51"/>
      <c r="H32" s="51"/>
    </row>
    <row r="33" spans="1:7" ht="269.25" customHeight="1">
      <c r="A33" s="478"/>
      <c r="B33" s="478"/>
      <c r="C33" s="478"/>
      <c r="D33" s="2"/>
      <c r="E33" s="2"/>
      <c r="F33" s="2"/>
      <c r="G33" s="2"/>
    </row>
    <row r="34" spans="1:7" ht="27.75" customHeight="1">
      <c r="A34" s="461"/>
      <c r="B34" s="461"/>
      <c r="C34" s="461"/>
      <c r="D34" s="461"/>
      <c r="E34" s="461"/>
      <c r="F34" s="461"/>
      <c r="G34" s="461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63"/>
      <c r="B37" s="163"/>
      <c r="C37" s="163"/>
      <c r="D37" s="163"/>
      <c r="E37" s="163"/>
      <c r="F37" s="163"/>
      <c r="G37" s="163"/>
    </row>
    <row r="38" spans="1:7" ht="9" customHeight="1">
      <c r="A38" s="11"/>
      <c r="B38" s="11"/>
      <c r="C38" s="11"/>
      <c r="D38" s="11"/>
      <c r="E38" s="11"/>
      <c r="F38" s="11"/>
      <c r="G38" s="11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52"/>
      <c r="C40" s="52"/>
      <c r="D40" s="52"/>
      <c r="E40" s="52"/>
      <c r="F40" s="52"/>
      <c r="G40" s="52"/>
    </row>
    <row r="41" spans="1:7" ht="36" customHeight="1">
      <c r="B41" s="164"/>
      <c r="C41" s="40"/>
      <c r="D41" s="35"/>
      <c r="E41" s="35"/>
      <c r="F41" s="35"/>
      <c r="G41" s="35"/>
    </row>
    <row r="42" spans="1:7" ht="66" customHeight="1">
      <c r="B42" s="164"/>
      <c r="C42" s="40"/>
      <c r="D42" s="41"/>
      <c r="E42" s="41"/>
      <c r="F42" s="41"/>
      <c r="G42" s="41"/>
    </row>
    <row r="43" spans="1:7" ht="12.75" customHeight="1">
      <c r="A43" s="154"/>
      <c r="B43" s="155"/>
      <c r="C43" s="154"/>
      <c r="D43" s="154"/>
      <c r="E43" s="155"/>
      <c r="F43" s="154"/>
      <c r="G43" s="155"/>
    </row>
    <row r="44" spans="1:7" ht="27.75" customHeight="1">
      <c r="A44" s="165"/>
      <c r="B44" s="165"/>
      <c r="C44" s="165"/>
      <c r="D44" s="165"/>
      <c r="E44" s="165"/>
      <c r="F44" s="165"/>
      <c r="G44" s="165"/>
    </row>
    <row r="45" spans="1:7" ht="27" customHeight="1">
      <c r="A45" s="156"/>
      <c r="B45" s="155"/>
      <c r="C45" s="157"/>
      <c r="D45" s="157"/>
      <c r="E45" s="157"/>
      <c r="F45" s="157"/>
      <c r="G45" s="73"/>
    </row>
    <row r="46" spans="1:7" ht="38.25" customHeight="1">
      <c r="A46" s="156"/>
      <c r="B46" s="155"/>
      <c r="C46" s="157"/>
      <c r="D46" s="157"/>
      <c r="E46" s="157"/>
      <c r="F46" s="157"/>
      <c r="G46" s="73"/>
    </row>
    <row r="47" spans="1:7" ht="20.100000000000001" customHeight="1">
      <c r="A47" s="158"/>
      <c r="B47" s="155"/>
      <c r="C47" s="157"/>
      <c r="D47" s="157"/>
      <c r="E47" s="157"/>
      <c r="F47" s="157"/>
      <c r="G47" s="73"/>
    </row>
    <row r="48" spans="1:7" ht="20.100000000000001" customHeight="1">
      <c r="A48" s="156"/>
      <c r="B48" s="155"/>
      <c r="C48" s="157"/>
      <c r="D48" s="157"/>
      <c r="E48" s="157"/>
      <c r="F48" s="157"/>
      <c r="G48" s="73"/>
    </row>
    <row r="49" spans="1:7" ht="20.100000000000001" customHeight="1">
      <c r="A49" s="156"/>
      <c r="B49" s="155"/>
      <c r="C49" s="157"/>
      <c r="D49" s="157"/>
      <c r="E49" s="157"/>
      <c r="F49" s="157"/>
      <c r="G49" s="73"/>
    </row>
    <row r="50" spans="1:7" ht="27" customHeight="1">
      <c r="A50" s="156"/>
      <c r="B50" s="155"/>
      <c r="C50" s="157"/>
      <c r="D50" s="157"/>
      <c r="E50" s="157"/>
      <c r="F50" s="157"/>
      <c r="G50" s="73"/>
    </row>
    <row r="51" spans="1:7" ht="20.100000000000001" customHeight="1">
      <c r="A51" s="159"/>
      <c r="B51" s="155"/>
      <c r="C51" s="157"/>
      <c r="D51" s="157"/>
      <c r="E51" s="157"/>
      <c r="F51" s="157"/>
      <c r="G51" s="73"/>
    </row>
    <row r="52" spans="1:7" ht="37.5" customHeight="1">
      <c r="A52" s="160"/>
      <c r="B52" s="155"/>
      <c r="C52" s="157"/>
      <c r="D52" s="157"/>
      <c r="E52" s="157"/>
      <c r="F52" s="157"/>
      <c r="G52" s="73"/>
    </row>
    <row r="53" spans="1:7" ht="21" customHeight="1">
      <c r="A53" s="156"/>
      <c r="B53" s="155"/>
      <c r="C53" s="157"/>
      <c r="D53" s="157"/>
      <c r="E53" s="157"/>
      <c r="F53" s="157"/>
      <c r="G53" s="73"/>
    </row>
    <row r="54" spans="1:7" ht="20.100000000000001" customHeight="1">
      <c r="A54" s="161"/>
      <c r="B54" s="155"/>
      <c r="C54" s="157"/>
      <c r="D54" s="157"/>
      <c r="E54" s="157"/>
      <c r="F54" s="157"/>
      <c r="G54" s="73"/>
    </row>
    <row r="55" spans="1:7" ht="20.100000000000001" customHeight="1">
      <c r="A55" s="23"/>
      <c r="B55" s="155"/>
      <c r="C55" s="157"/>
      <c r="D55" s="157"/>
      <c r="E55" s="157"/>
      <c r="F55" s="157"/>
      <c r="G55" s="73"/>
    </row>
    <row r="56" spans="1:7" ht="20.100000000000001" customHeight="1">
      <c r="A56" s="159"/>
      <c r="B56" s="155"/>
      <c r="C56" s="157"/>
      <c r="D56" s="157"/>
      <c r="E56" s="157"/>
      <c r="F56" s="157"/>
      <c r="G56" s="73"/>
    </row>
    <row r="57" spans="1:7" ht="18" customHeight="1">
      <c r="A57" s="160"/>
      <c r="B57" s="155"/>
      <c r="C57" s="157"/>
      <c r="D57" s="157"/>
      <c r="E57" s="157"/>
      <c r="F57" s="157"/>
      <c r="G57" s="73"/>
    </row>
    <row r="58" spans="1:7" ht="0.75" hidden="1" customHeight="1">
      <c r="A58" s="160"/>
      <c r="B58" s="41"/>
      <c r="C58" s="72"/>
      <c r="D58" s="72"/>
      <c r="E58" s="166"/>
      <c r="F58" s="166"/>
      <c r="G58" s="166"/>
    </row>
    <row r="59" spans="1:7" ht="18.75" hidden="1" customHeight="1" outlineLevel="1">
      <c r="A59" s="165"/>
      <c r="B59" s="165"/>
      <c r="C59" s="165"/>
      <c r="D59" s="165"/>
      <c r="E59" s="165"/>
      <c r="F59" s="165"/>
      <c r="G59" s="165"/>
    </row>
    <row r="60" spans="1:7" ht="21" customHeight="1" collapsed="1">
      <c r="A60" s="160"/>
      <c r="B60" s="155"/>
      <c r="C60" s="157"/>
      <c r="D60" s="157"/>
      <c r="E60" s="157"/>
      <c r="F60" s="157"/>
      <c r="G60" s="73"/>
    </row>
    <row r="61" spans="1:7" ht="23.25" customHeight="1">
      <c r="A61" s="46"/>
      <c r="B61" s="155"/>
      <c r="C61" s="157"/>
      <c r="D61" s="157"/>
      <c r="E61" s="157"/>
      <c r="F61" s="157"/>
      <c r="G61" s="73"/>
    </row>
    <row r="62" spans="1:7" ht="36.75" customHeight="1">
      <c r="A62" s="46"/>
      <c r="B62" s="155"/>
      <c r="C62" s="157"/>
      <c r="D62" s="157"/>
      <c r="E62" s="157"/>
      <c r="F62" s="157"/>
      <c r="G62" s="73"/>
    </row>
    <row r="63" spans="1:7" ht="37.5" customHeight="1">
      <c r="A63" s="160"/>
      <c r="B63" s="155"/>
      <c r="C63" s="157"/>
      <c r="D63" s="157"/>
      <c r="E63" s="157"/>
      <c r="F63" s="157"/>
      <c r="G63" s="73"/>
    </row>
    <row r="64" spans="1:7" ht="37.5" customHeight="1">
      <c r="A64" s="160"/>
      <c r="B64" s="155"/>
      <c r="C64" s="157"/>
      <c r="D64" s="157"/>
      <c r="E64" s="157"/>
      <c r="F64" s="157"/>
      <c r="G64" s="73"/>
    </row>
    <row r="65" spans="1:7" ht="21" customHeight="1">
      <c r="A65" s="161"/>
      <c r="B65" s="155"/>
      <c r="C65" s="157"/>
      <c r="D65" s="157"/>
      <c r="E65" s="157"/>
      <c r="F65" s="157"/>
      <c r="G65" s="73"/>
    </row>
    <row r="66" spans="1:7" ht="20.100000000000001" customHeight="1">
      <c r="A66" s="165"/>
      <c r="B66" s="165"/>
      <c r="C66" s="165"/>
      <c r="D66" s="165"/>
      <c r="E66" s="165"/>
      <c r="F66" s="165"/>
      <c r="G66" s="165"/>
    </row>
    <row r="67" spans="1:7" ht="19.5" customHeight="1">
      <c r="A67" s="23"/>
      <c r="B67" s="154"/>
      <c r="C67" s="157"/>
      <c r="D67" s="157"/>
      <c r="E67" s="157"/>
      <c r="F67" s="157"/>
      <c r="G67" s="73"/>
    </row>
    <row r="68" spans="1:7" ht="20.100000000000001" customHeight="1">
      <c r="A68" s="23"/>
      <c r="B68" s="154"/>
      <c r="C68" s="157"/>
      <c r="D68" s="157"/>
      <c r="E68" s="157"/>
      <c r="F68" s="157"/>
      <c r="G68" s="73"/>
    </row>
    <row r="69" spans="1:7" ht="21" customHeight="1">
      <c r="A69" s="159"/>
      <c r="B69" s="154"/>
      <c r="C69" s="157"/>
      <c r="D69" s="157"/>
      <c r="E69" s="157"/>
      <c r="F69" s="157"/>
      <c r="G69" s="73"/>
    </row>
    <row r="70" spans="1:7" ht="24" customHeight="1">
      <c r="A70" s="167"/>
      <c r="B70" s="167"/>
      <c r="C70" s="167"/>
      <c r="D70" s="167"/>
      <c r="E70" s="167"/>
      <c r="F70" s="167"/>
      <c r="G70" s="167"/>
    </row>
    <row r="71" spans="1:7" ht="16.5" customHeight="1">
      <c r="A71" s="160"/>
      <c r="B71" s="154"/>
      <c r="C71" s="157"/>
      <c r="D71" s="157"/>
      <c r="E71" s="157"/>
      <c r="F71" s="157"/>
      <c r="G71" s="73"/>
    </row>
    <row r="72" spans="1:7" ht="20.100000000000001" customHeight="1">
      <c r="A72" s="168"/>
      <c r="B72" s="168"/>
      <c r="C72" s="168"/>
      <c r="D72" s="168"/>
      <c r="E72" s="168"/>
      <c r="F72" s="168"/>
      <c r="G72" s="168"/>
    </row>
    <row r="73" spans="1:7" ht="16.5" customHeight="1">
      <c r="A73" s="160"/>
      <c r="B73" s="154"/>
      <c r="C73" s="157"/>
      <c r="D73" s="157"/>
      <c r="E73" s="157"/>
      <c r="F73" s="157"/>
      <c r="G73" s="73"/>
    </row>
    <row r="74" spans="1:7" ht="20.100000000000001" customHeight="1">
      <c r="A74" s="160"/>
      <c r="B74" s="154"/>
      <c r="C74" s="157"/>
      <c r="D74" s="157"/>
      <c r="E74" s="157"/>
      <c r="F74" s="157"/>
      <c r="G74" s="73"/>
    </row>
    <row r="75" spans="1:7" ht="20.100000000000001" customHeight="1">
      <c r="A75" s="165"/>
      <c r="B75" s="165"/>
      <c r="C75" s="165"/>
      <c r="D75" s="165"/>
      <c r="E75" s="165"/>
      <c r="F75" s="165"/>
      <c r="G75" s="165"/>
    </row>
    <row r="76" spans="1:7" ht="18" customHeight="1">
      <c r="A76" s="160"/>
      <c r="B76" s="154"/>
      <c r="C76" s="157"/>
      <c r="D76" s="157"/>
      <c r="E76" s="157"/>
      <c r="F76" s="157"/>
      <c r="G76" s="73"/>
    </row>
    <row r="77" spans="1:7" ht="20.100000000000001" customHeight="1">
      <c r="A77" s="160"/>
      <c r="B77" s="154"/>
      <c r="C77" s="157"/>
      <c r="D77" s="157"/>
      <c r="E77" s="157"/>
      <c r="F77" s="157"/>
      <c r="G77" s="73"/>
    </row>
    <row r="78" spans="1:7" ht="20.100000000000001" customHeight="1">
      <c r="A78" s="162"/>
      <c r="B78" s="154"/>
      <c r="C78" s="157"/>
      <c r="D78" s="157"/>
      <c r="E78" s="157"/>
      <c r="F78" s="157"/>
      <c r="G78" s="73"/>
    </row>
    <row r="79" spans="1:7" ht="20.100000000000001" customHeight="1">
      <c r="A79" s="161"/>
      <c r="B79" s="154"/>
      <c r="C79" s="157"/>
      <c r="D79" s="157"/>
      <c r="E79" s="157"/>
      <c r="F79" s="157"/>
      <c r="G79" s="73"/>
    </row>
    <row r="80" spans="1:7" s="4" customFormat="1" ht="20.100000000000001" customHeight="1">
      <c r="A80" s="160"/>
      <c r="B80" s="154"/>
      <c r="C80" s="157"/>
      <c r="D80" s="157"/>
      <c r="E80" s="157"/>
      <c r="F80" s="157"/>
      <c r="G80" s="73"/>
    </row>
    <row r="81" spans="1:16" ht="20.100000000000001" customHeight="1">
      <c r="A81" s="160"/>
      <c r="B81" s="154"/>
      <c r="C81" s="157"/>
      <c r="D81" s="157"/>
      <c r="E81" s="157"/>
      <c r="F81" s="157"/>
      <c r="G81" s="73"/>
    </row>
    <row r="82" spans="1:16" ht="20.100000000000001" customHeight="1">
      <c r="A82" s="161"/>
      <c r="B82" s="154"/>
      <c r="C82" s="157"/>
      <c r="D82" s="157"/>
      <c r="E82" s="157"/>
      <c r="F82" s="157"/>
      <c r="G82" s="73"/>
    </row>
    <row r="83" spans="1:16" s="4" customFormat="1" ht="20.100000000000001" customHeight="1">
      <c r="A83" s="160"/>
      <c r="B83" s="154"/>
      <c r="C83" s="157"/>
      <c r="D83" s="157"/>
      <c r="E83" s="157"/>
      <c r="F83" s="157"/>
      <c r="G83" s="73"/>
    </row>
    <row r="84" spans="1:16" ht="20.100000000000001" customHeight="1">
      <c r="A84" s="160"/>
      <c r="B84" s="154"/>
      <c r="C84" s="157"/>
      <c r="D84" s="157"/>
      <c r="E84" s="157"/>
      <c r="F84" s="157"/>
      <c r="G84" s="73"/>
    </row>
    <row r="85" spans="1:16" ht="20.100000000000001" customHeight="1">
      <c r="A85" s="161"/>
      <c r="B85" s="87"/>
      <c r="C85" s="157"/>
      <c r="D85" s="157"/>
      <c r="E85" s="157"/>
      <c r="F85" s="157"/>
      <c r="G85" s="73"/>
    </row>
    <row r="86" spans="1:16" s="4" customFormat="1" ht="20.100000000000001" customHeight="1">
      <c r="A86" s="161"/>
      <c r="B86" s="21"/>
      <c r="C86" s="157"/>
      <c r="D86" s="157"/>
      <c r="E86" s="157"/>
      <c r="F86" s="157"/>
      <c r="G86" s="73"/>
    </row>
    <row r="87" spans="1:16" ht="8.25" customHeight="1">
      <c r="A87" s="23"/>
    </row>
    <row r="88" spans="1:16" ht="21.75" customHeight="1">
      <c r="A88" s="92"/>
      <c r="B88" s="93"/>
      <c r="C88" s="150"/>
      <c r="D88" s="94"/>
      <c r="E88" s="138"/>
      <c r="F88" s="138"/>
      <c r="G88" s="138"/>
    </row>
    <row r="89" spans="1:16" s="1" customFormat="1" ht="20.100000000000001" customHeight="1">
      <c r="A89" s="95"/>
      <c r="B89" s="96"/>
      <c r="C89" s="95"/>
      <c r="D89" s="96"/>
      <c r="E89" s="96"/>
      <c r="F89" s="96"/>
      <c r="G89" s="96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40"/>
    </row>
    <row r="92" spans="1:16">
      <c r="A92" s="40"/>
    </row>
    <row r="93" spans="1:16">
      <c r="A93" s="40"/>
    </row>
    <row r="94" spans="1:16">
      <c r="A94" s="40"/>
    </row>
    <row r="95" spans="1:16">
      <c r="A95" s="40"/>
    </row>
    <row r="96" spans="1:16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</sheetData>
  <mergeCells count="28">
    <mergeCell ref="G8:J8"/>
    <mergeCell ref="G15:J15"/>
    <mergeCell ref="A11:B11"/>
    <mergeCell ref="A12:B12"/>
    <mergeCell ref="A34:G34"/>
    <mergeCell ref="E27:F27"/>
    <mergeCell ref="B29:D29"/>
    <mergeCell ref="B27:D27"/>
    <mergeCell ref="B28:D28"/>
    <mergeCell ref="E28:F28"/>
    <mergeCell ref="A30:G30"/>
    <mergeCell ref="E10:G10"/>
    <mergeCell ref="A3:B3"/>
    <mergeCell ref="A8:B8"/>
    <mergeCell ref="A13:B13"/>
    <mergeCell ref="A15:B15"/>
    <mergeCell ref="A33:C33"/>
    <mergeCell ref="A18:B18"/>
    <mergeCell ref="B25:D25"/>
    <mergeCell ref="A21:E21"/>
    <mergeCell ref="B26:D26"/>
    <mergeCell ref="B20:D20"/>
    <mergeCell ref="B22:D22"/>
    <mergeCell ref="B23:D23"/>
    <mergeCell ref="B24:D24"/>
    <mergeCell ref="A16:B16"/>
    <mergeCell ref="E4:G4"/>
    <mergeCell ref="G5:H5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316"/>
  <sheetViews>
    <sheetView view="pageBreakPreview" zoomScaleNormal="75" zoomScaleSheetLayoutView="75" workbookViewId="0">
      <selection activeCell="I81" sqref="I81"/>
    </sheetView>
  </sheetViews>
  <sheetFormatPr defaultRowHeight="18.75"/>
  <cols>
    <col min="1" max="1" width="47.7109375" style="2" customWidth="1"/>
    <col min="2" max="2" width="5.85546875" style="21" customWidth="1"/>
    <col min="3" max="4" width="15.85546875" style="21" customWidth="1"/>
    <col min="5" max="5" width="13.85546875" style="21" customWidth="1"/>
    <col min="6" max="6" width="14.28515625" style="21" customWidth="1"/>
    <col min="7" max="7" width="12.28515625" style="21" customWidth="1"/>
    <col min="8" max="8" width="12.140625" style="268" customWidth="1"/>
    <col min="9" max="9" width="15.85546875" style="21" customWidth="1"/>
    <col min="10" max="16384" width="9.140625" style="2"/>
  </cols>
  <sheetData>
    <row r="1" spans="1:9" ht="30.75" customHeight="1">
      <c r="A1" s="488" t="s">
        <v>81</v>
      </c>
      <c r="B1" s="488"/>
      <c r="C1" s="488"/>
      <c r="D1" s="488"/>
      <c r="E1" s="488"/>
      <c r="F1" s="488"/>
      <c r="G1" s="488"/>
      <c r="H1" s="488"/>
      <c r="I1" s="488"/>
    </row>
    <row r="2" spans="1:9" ht="5.25" customHeight="1">
      <c r="A2" s="34"/>
      <c r="B2" s="41"/>
      <c r="C2" s="41"/>
      <c r="D2" s="41"/>
      <c r="E2" s="41"/>
      <c r="F2" s="41"/>
      <c r="G2" s="41"/>
      <c r="H2" s="261"/>
      <c r="I2" s="41"/>
    </row>
    <row r="3" spans="1:9" ht="42" customHeight="1">
      <c r="A3" s="463" t="s">
        <v>202</v>
      </c>
      <c r="B3" s="464" t="s">
        <v>12</v>
      </c>
      <c r="C3" s="466" t="s">
        <v>474</v>
      </c>
      <c r="D3" s="466"/>
      <c r="E3" s="465" t="s">
        <v>477</v>
      </c>
      <c r="F3" s="465"/>
      <c r="G3" s="465"/>
      <c r="H3" s="465"/>
      <c r="I3" s="489" t="s">
        <v>196</v>
      </c>
    </row>
    <row r="4" spans="1:9" ht="72.75" customHeight="1">
      <c r="A4" s="463"/>
      <c r="B4" s="464"/>
      <c r="C4" s="259" t="s">
        <v>475</v>
      </c>
      <c r="D4" s="6" t="s">
        <v>476</v>
      </c>
      <c r="E4" s="47" t="s">
        <v>186</v>
      </c>
      <c r="F4" s="47" t="s">
        <v>176</v>
      </c>
      <c r="G4" s="47" t="s">
        <v>374</v>
      </c>
      <c r="H4" s="262" t="s">
        <v>375</v>
      </c>
      <c r="I4" s="490"/>
    </row>
    <row r="5" spans="1:9" ht="12" customHeight="1">
      <c r="A5" s="105">
        <v>1</v>
      </c>
      <c r="B5" s="106">
        <v>2</v>
      </c>
      <c r="C5" s="105">
        <v>3</v>
      </c>
      <c r="D5" s="105">
        <v>4</v>
      </c>
      <c r="E5" s="106">
        <v>5</v>
      </c>
      <c r="F5" s="105">
        <v>6</v>
      </c>
      <c r="G5" s="105">
        <v>7</v>
      </c>
      <c r="H5" s="270">
        <v>8</v>
      </c>
      <c r="I5" s="105">
        <v>9</v>
      </c>
    </row>
    <row r="6" spans="1:9" s="4" customFormat="1" ht="18.75" customHeight="1">
      <c r="A6" s="495" t="s">
        <v>195</v>
      </c>
      <c r="B6" s="495"/>
      <c r="C6" s="495"/>
      <c r="D6" s="495"/>
      <c r="E6" s="495"/>
      <c r="F6" s="495"/>
      <c r="G6" s="495"/>
      <c r="H6" s="495"/>
      <c r="I6" s="495"/>
    </row>
    <row r="7" spans="1:9" s="4" customFormat="1" ht="39" customHeight="1">
      <c r="A7" s="191" t="s">
        <v>372</v>
      </c>
      <c r="B7" s="97">
        <v>1000</v>
      </c>
      <c r="C7" s="205">
        <v>48765</v>
      </c>
      <c r="D7" s="205">
        <f>12008+12185+12013+12048</f>
        <v>48254</v>
      </c>
      <c r="E7" s="205">
        <v>11455</v>
      </c>
      <c r="F7" s="205">
        <v>12048</v>
      </c>
      <c r="G7" s="203">
        <f>F7-E7</f>
        <v>593</v>
      </c>
      <c r="H7" s="263">
        <f>F7/E7*100</f>
        <v>105.17677869925797</v>
      </c>
      <c r="I7" s="66"/>
    </row>
    <row r="8" spans="1:9" ht="39" customHeight="1">
      <c r="A8" s="191" t="s">
        <v>373</v>
      </c>
      <c r="B8" s="187">
        <v>1010</v>
      </c>
      <c r="C8" s="203">
        <f>SUM(C9:C16)</f>
        <v>-37135</v>
      </c>
      <c r="D8" s="203">
        <f>SUM(D9:D16)</f>
        <v>-40652</v>
      </c>
      <c r="E8" s="203">
        <f>SUM(E9:E16)</f>
        <v>-9788</v>
      </c>
      <c r="F8" s="203">
        <f>SUM(F9:F16)</f>
        <v>-10664</v>
      </c>
      <c r="G8" s="203">
        <f>F8-E8</f>
        <v>-876</v>
      </c>
      <c r="H8" s="263">
        <f>F8/E8*100</f>
        <v>108.94973436861464</v>
      </c>
      <c r="I8" s="66"/>
    </row>
    <row r="9" spans="1:9" s="1" customFormat="1" ht="16.5" customHeight="1">
      <c r="A9" s="101" t="s">
        <v>201</v>
      </c>
      <c r="B9" s="88">
        <v>1011</v>
      </c>
      <c r="C9" s="102">
        <v>-1604</v>
      </c>
      <c r="D9" s="102">
        <f>-521+-672+-801+-493</f>
        <v>-2487</v>
      </c>
      <c r="E9" s="102">
        <v>-390</v>
      </c>
      <c r="F9" s="102">
        <v>-493</v>
      </c>
      <c r="G9" s="203">
        <f t="shared" ref="G9:G16" si="0">F9-E9</f>
        <v>-103</v>
      </c>
      <c r="H9" s="263">
        <f t="shared" ref="H9:H16" si="1">F9/E9*100</f>
        <v>126.41025641025641</v>
      </c>
      <c r="I9" s="65"/>
    </row>
    <row r="10" spans="1:9" s="1" customFormat="1" ht="17.25" customHeight="1">
      <c r="A10" s="101" t="s">
        <v>57</v>
      </c>
      <c r="B10" s="88">
        <v>1012</v>
      </c>
      <c r="C10" s="102">
        <v>-610</v>
      </c>
      <c r="D10" s="102">
        <f>-181+-185+-139+-159</f>
        <v>-664</v>
      </c>
      <c r="E10" s="102">
        <v>-100</v>
      </c>
      <c r="F10" s="102">
        <v>-159</v>
      </c>
      <c r="G10" s="278">
        <f t="shared" si="0"/>
        <v>-59</v>
      </c>
      <c r="H10" s="263">
        <f t="shared" si="1"/>
        <v>159</v>
      </c>
      <c r="I10" s="65"/>
    </row>
    <row r="11" spans="1:9" s="1" customFormat="1" ht="15.75" customHeight="1">
      <c r="A11" s="101" t="s">
        <v>56</v>
      </c>
      <c r="B11" s="88">
        <v>1013</v>
      </c>
      <c r="C11" s="102">
        <v>-3505</v>
      </c>
      <c r="D11" s="102">
        <f>-896+-716+-678+-813</f>
        <v>-3103</v>
      </c>
      <c r="E11" s="102">
        <v>-875</v>
      </c>
      <c r="F11" s="102">
        <v>-813</v>
      </c>
      <c r="G11" s="203">
        <f t="shared" si="0"/>
        <v>62</v>
      </c>
      <c r="H11" s="263">
        <f t="shared" si="1"/>
        <v>92.914285714285711</v>
      </c>
      <c r="I11" s="65"/>
    </row>
    <row r="12" spans="1:9" s="1" customFormat="1" ht="16.5" customHeight="1">
      <c r="A12" s="101" t="s">
        <v>33</v>
      </c>
      <c r="B12" s="88">
        <v>1014</v>
      </c>
      <c r="C12" s="102">
        <v>-16218</v>
      </c>
      <c r="D12" s="102">
        <f>-4249+-4424+-4915+-4999</f>
        <v>-18587</v>
      </c>
      <c r="E12" s="102">
        <v>-4723</v>
      </c>
      <c r="F12" s="102">
        <v>-4999</v>
      </c>
      <c r="G12" s="203">
        <f t="shared" si="0"/>
        <v>-276</v>
      </c>
      <c r="H12" s="263">
        <f t="shared" si="1"/>
        <v>105.84374338344273</v>
      </c>
      <c r="I12" s="65"/>
    </row>
    <row r="13" spans="1:9" s="1" customFormat="1" ht="15.75" customHeight="1">
      <c r="A13" s="101" t="s">
        <v>34</v>
      </c>
      <c r="B13" s="88">
        <v>1015</v>
      </c>
      <c r="C13" s="102">
        <v>-3545</v>
      </c>
      <c r="D13" s="102">
        <f>-953+-960+-1060+-1132</f>
        <v>-4105</v>
      </c>
      <c r="E13" s="102">
        <v>-1036</v>
      </c>
      <c r="F13" s="102">
        <v>-1132</v>
      </c>
      <c r="G13" s="203">
        <f t="shared" si="0"/>
        <v>-96</v>
      </c>
      <c r="H13" s="263">
        <f t="shared" si="1"/>
        <v>109.26640926640927</v>
      </c>
      <c r="I13" s="65"/>
    </row>
    <row r="14" spans="1:9" s="1" customFormat="1" ht="48" customHeight="1">
      <c r="A14" s="101" t="s">
        <v>367</v>
      </c>
      <c r="B14" s="88">
        <v>1016</v>
      </c>
      <c r="C14" s="102" t="s">
        <v>254</v>
      </c>
      <c r="D14" s="102" t="s">
        <v>254</v>
      </c>
      <c r="E14" s="102" t="s">
        <v>254</v>
      </c>
      <c r="F14" s="102" t="s">
        <v>254</v>
      </c>
      <c r="G14" s="203" t="e">
        <f t="shared" si="0"/>
        <v>#VALUE!</v>
      </c>
      <c r="H14" s="263" t="e">
        <f t="shared" si="1"/>
        <v>#VALUE!</v>
      </c>
      <c r="I14" s="65"/>
    </row>
    <row r="15" spans="1:9" s="1" customFormat="1" ht="28.5" customHeight="1">
      <c r="A15" s="101" t="s">
        <v>368</v>
      </c>
      <c r="B15" s="88">
        <v>1017</v>
      </c>
      <c r="C15" s="102">
        <v>-321</v>
      </c>
      <c r="D15" s="102">
        <f>-86+-86+-87+-85</f>
        <v>-344</v>
      </c>
      <c r="E15" s="102">
        <v>-80</v>
      </c>
      <c r="F15" s="102">
        <v>-85</v>
      </c>
      <c r="G15" s="203">
        <f t="shared" si="0"/>
        <v>-5</v>
      </c>
      <c r="H15" s="263">
        <f t="shared" si="1"/>
        <v>106.25</v>
      </c>
      <c r="I15" s="65"/>
    </row>
    <row r="16" spans="1:9" s="1" customFormat="1" ht="18.75" customHeight="1">
      <c r="A16" s="101" t="s">
        <v>385</v>
      </c>
      <c r="B16" s="88">
        <v>1018</v>
      </c>
      <c r="C16" s="102">
        <v>-11332</v>
      </c>
      <c r="D16" s="102">
        <f>-2757+-2916+-2706+-2983</f>
        <v>-11362</v>
      </c>
      <c r="E16" s="102">
        <v>-2584</v>
      </c>
      <c r="F16" s="102">
        <v>-2983</v>
      </c>
      <c r="G16" s="203">
        <f t="shared" si="0"/>
        <v>-399</v>
      </c>
      <c r="H16" s="263">
        <f t="shared" si="1"/>
        <v>115.44117647058823</v>
      </c>
      <c r="I16" s="65"/>
    </row>
    <row r="17" spans="1:9" s="4" customFormat="1" ht="24" customHeight="1">
      <c r="A17" s="194" t="s">
        <v>18</v>
      </c>
      <c r="B17" s="187">
        <v>1020</v>
      </c>
      <c r="C17" s="153">
        <f>SUM(C7,C8)</f>
        <v>11630</v>
      </c>
      <c r="D17" s="153">
        <f>SUM(D7,D8)</f>
        <v>7602</v>
      </c>
      <c r="E17" s="153">
        <f>SUM(E7,E8)</f>
        <v>1667</v>
      </c>
      <c r="F17" s="153">
        <f>SUM(F7,F8)</f>
        <v>1384</v>
      </c>
      <c r="G17" s="153">
        <f>F17-E17</f>
        <v>-283</v>
      </c>
      <c r="H17" s="264">
        <f>F17/E17*100</f>
        <v>83.023395320935805</v>
      </c>
      <c r="I17" s="206"/>
    </row>
    <row r="18" spans="1:9" s="4" customFormat="1" ht="11.25" customHeight="1">
      <c r="A18" s="194"/>
      <c r="B18" s="187"/>
      <c r="C18" s="153"/>
      <c r="D18" s="153"/>
      <c r="E18" s="153"/>
      <c r="F18" s="153"/>
      <c r="G18" s="153"/>
      <c r="H18" s="264"/>
      <c r="I18" s="206"/>
    </row>
    <row r="19" spans="1:9" ht="33.75" customHeight="1">
      <c r="A19" s="9" t="s">
        <v>376</v>
      </c>
      <c r="B19" s="97">
        <v>1030</v>
      </c>
      <c r="C19" s="82">
        <v>177</v>
      </c>
      <c r="D19" s="82">
        <f>15+17+23+101</f>
        <v>156</v>
      </c>
      <c r="E19" s="82"/>
      <c r="F19" s="82">
        <v>101</v>
      </c>
      <c r="G19" s="84">
        <f>F19-E19</f>
        <v>101</v>
      </c>
      <c r="H19" s="264" t="e">
        <f>F19/E19*100</f>
        <v>#DIV/0!</v>
      </c>
      <c r="I19" s="66"/>
    </row>
    <row r="20" spans="1:9" ht="16.5" customHeight="1">
      <c r="A20" s="101" t="s">
        <v>157</v>
      </c>
      <c r="B20" s="97">
        <v>1031</v>
      </c>
      <c r="C20" s="102"/>
      <c r="D20" s="102"/>
      <c r="E20" s="102"/>
      <c r="F20" s="102"/>
      <c r="G20" s="103">
        <f>F20-E20</f>
        <v>0</v>
      </c>
      <c r="H20" s="265"/>
      <c r="I20" s="66"/>
    </row>
    <row r="21" spans="1:9" ht="20.25" customHeight="1">
      <c r="A21" s="191" t="s">
        <v>390</v>
      </c>
      <c r="B21" s="187">
        <v>1040</v>
      </c>
      <c r="C21" s="203">
        <f>SUM(C22:C41,C43)</f>
        <v>-6195</v>
      </c>
      <c r="D21" s="203">
        <f>SUM(D22:D41,D43)</f>
        <v>-6349</v>
      </c>
      <c r="E21" s="203">
        <f>SUM(E22:E41,E43)</f>
        <v>-1612</v>
      </c>
      <c r="F21" s="203">
        <f>SUM(F22:F41,F43)</f>
        <v>-1680</v>
      </c>
      <c r="G21" s="203">
        <f>F21-E21</f>
        <v>-68</v>
      </c>
      <c r="H21" s="264">
        <f>F21/E21*100</f>
        <v>104.21836228287842</v>
      </c>
      <c r="I21" s="66"/>
    </row>
    <row r="22" spans="1:9" ht="33.75" customHeight="1">
      <c r="A22" s="101" t="s">
        <v>87</v>
      </c>
      <c r="B22" s="97">
        <v>1041</v>
      </c>
      <c r="C22" s="102" t="s">
        <v>254</v>
      </c>
      <c r="D22" s="102"/>
      <c r="E22" s="102" t="s">
        <v>254</v>
      </c>
      <c r="F22" s="102" t="s">
        <v>254</v>
      </c>
      <c r="G22" s="103"/>
      <c r="H22" s="265"/>
      <c r="I22" s="66"/>
    </row>
    <row r="23" spans="1:9" ht="21.75" customHeight="1">
      <c r="A23" s="101" t="s">
        <v>149</v>
      </c>
      <c r="B23" s="97">
        <v>1042</v>
      </c>
      <c r="C23" s="102" t="s">
        <v>254</v>
      </c>
      <c r="D23" s="102"/>
      <c r="E23" s="102" t="s">
        <v>254</v>
      </c>
      <c r="F23" s="102" t="s">
        <v>254</v>
      </c>
      <c r="G23" s="103"/>
      <c r="H23" s="265"/>
      <c r="I23" s="66"/>
    </row>
    <row r="24" spans="1:9" ht="21.75" customHeight="1">
      <c r="A24" s="101" t="s">
        <v>54</v>
      </c>
      <c r="B24" s="97">
        <v>1043</v>
      </c>
      <c r="C24" s="102" t="s">
        <v>254</v>
      </c>
      <c r="D24" s="102"/>
      <c r="E24" s="102" t="s">
        <v>254</v>
      </c>
      <c r="F24" s="102" t="s">
        <v>254</v>
      </c>
      <c r="G24" s="103"/>
      <c r="H24" s="265"/>
      <c r="I24" s="66"/>
    </row>
    <row r="25" spans="1:9" ht="18.75" customHeight="1">
      <c r="A25" s="101" t="s">
        <v>16</v>
      </c>
      <c r="B25" s="97">
        <v>1044</v>
      </c>
      <c r="C25" s="102">
        <v>-7</v>
      </c>
      <c r="D25" s="102">
        <f>-2+-7</f>
        <v>-9</v>
      </c>
      <c r="E25" s="102">
        <v>-1</v>
      </c>
      <c r="F25" s="102">
        <v>0</v>
      </c>
      <c r="G25" s="103"/>
      <c r="H25" s="265"/>
      <c r="I25" s="66"/>
    </row>
    <row r="26" spans="1:9" ht="18.75" customHeight="1">
      <c r="A26" s="101" t="s">
        <v>17</v>
      </c>
      <c r="B26" s="97">
        <v>1045</v>
      </c>
      <c r="C26" s="102"/>
      <c r="D26" s="102" t="s">
        <v>254</v>
      </c>
      <c r="E26" s="102" t="s">
        <v>254</v>
      </c>
      <c r="F26" s="102" t="s">
        <v>254</v>
      </c>
      <c r="G26" s="103"/>
      <c r="H26" s="265"/>
      <c r="I26" s="66"/>
    </row>
    <row r="27" spans="1:9" s="1" customFormat="1" ht="16.5" customHeight="1">
      <c r="A27" s="101" t="s">
        <v>31</v>
      </c>
      <c r="B27" s="97">
        <v>1046</v>
      </c>
      <c r="C27" s="102">
        <v>-21</v>
      </c>
      <c r="D27" s="102">
        <f>-3+-2+-7+-1</f>
        <v>-13</v>
      </c>
      <c r="E27" s="102">
        <v>-2</v>
      </c>
      <c r="F27" s="102">
        <v>-1</v>
      </c>
      <c r="G27" s="103"/>
      <c r="H27" s="265"/>
      <c r="I27" s="66"/>
    </row>
    <row r="28" spans="1:9" s="1" customFormat="1" ht="16.5" customHeight="1">
      <c r="A28" s="101" t="s">
        <v>32</v>
      </c>
      <c r="B28" s="97">
        <v>1047</v>
      </c>
      <c r="C28" s="102">
        <v>-21</v>
      </c>
      <c r="D28" s="102">
        <f>-6+-7+-7+-7</f>
        <v>-27</v>
      </c>
      <c r="E28" s="102">
        <v>-5</v>
      </c>
      <c r="F28" s="102">
        <v>-7</v>
      </c>
      <c r="G28" s="103"/>
      <c r="H28" s="265"/>
      <c r="I28" s="66"/>
    </row>
    <row r="29" spans="1:9" s="1" customFormat="1" ht="15" customHeight="1">
      <c r="A29" s="101" t="s">
        <v>33</v>
      </c>
      <c r="B29" s="97">
        <v>1048</v>
      </c>
      <c r="C29" s="102">
        <v>-4301</v>
      </c>
      <c r="D29" s="102">
        <f>-1273+-1050+-1084+-1158</f>
        <v>-4565</v>
      </c>
      <c r="E29" s="102">
        <v>-1126</v>
      </c>
      <c r="F29" s="102">
        <v>-1158</v>
      </c>
      <c r="G29" s="103"/>
      <c r="H29" s="265"/>
      <c r="I29" s="66"/>
    </row>
    <row r="30" spans="1:9" s="1" customFormat="1" ht="15" customHeight="1">
      <c r="A30" s="101" t="s">
        <v>34</v>
      </c>
      <c r="B30" s="97">
        <v>1049</v>
      </c>
      <c r="C30" s="102">
        <v>-893</v>
      </c>
      <c r="D30" s="102">
        <f>-264+-219+-228+-299</f>
        <v>-1010</v>
      </c>
      <c r="E30" s="102">
        <v>-243</v>
      </c>
      <c r="F30" s="102">
        <v>-299</v>
      </c>
      <c r="G30" s="103"/>
      <c r="H30" s="265"/>
      <c r="I30" s="66"/>
    </row>
    <row r="31" spans="1:9" s="1" customFormat="1" ht="30.75" customHeight="1">
      <c r="A31" s="101" t="s">
        <v>35</v>
      </c>
      <c r="B31" s="97">
        <v>1050</v>
      </c>
      <c r="C31" s="102">
        <v>-67</v>
      </c>
      <c r="D31" s="102">
        <f>-17+-18+-19+-20</f>
        <v>-74</v>
      </c>
      <c r="E31" s="102">
        <v>-16</v>
      </c>
      <c r="F31" s="102">
        <v>-20</v>
      </c>
      <c r="G31" s="103"/>
      <c r="H31" s="265"/>
      <c r="I31" s="66"/>
    </row>
    <row r="32" spans="1:9" s="1" customFormat="1" ht="46.5" customHeight="1">
      <c r="A32" s="101" t="s">
        <v>36</v>
      </c>
      <c r="B32" s="97">
        <v>1051</v>
      </c>
      <c r="C32" s="102">
        <v>0</v>
      </c>
      <c r="D32" s="102" t="s">
        <v>254</v>
      </c>
      <c r="E32" s="102" t="s">
        <v>254</v>
      </c>
      <c r="F32" s="102" t="s">
        <v>254</v>
      </c>
      <c r="G32" s="103"/>
      <c r="H32" s="265"/>
      <c r="I32" s="66"/>
    </row>
    <row r="33" spans="1:9" s="1" customFormat="1" ht="33.75" customHeight="1">
      <c r="A33" s="101" t="s">
        <v>37</v>
      </c>
      <c r="B33" s="97">
        <v>1052</v>
      </c>
      <c r="C33" s="102" t="s">
        <v>254</v>
      </c>
      <c r="D33" s="102" t="s">
        <v>254</v>
      </c>
      <c r="E33" s="102" t="s">
        <v>254</v>
      </c>
      <c r="F33" s="102" t="s">
        <v>254</v>
      </c>
      <c r="G33" s="103"/>
      <c r="H33" s="265"/>
      <c r="I33" s="66"/>
    </row>
    <row r="34" spans="1:9" s="1" customFormat="1" ht="31.5" customHeight="1">
      <c r="A34" s="101" t="s">
        <v>369</v>
      </c>
      <c r="B34" s="97">
        <v>1053</v>
      </c>
      <c r="C34" s="102" t="s">
        <v>254</v>
      </c>
      <c r="D34" s="102" t="s">
        <v>254</v>
      </c>
      <c r="E34" s="102" t="s">
        <v>254</v>
      </c>
      <c r="F34" s="102" t="s">
        <v>254</v>
      </c>
      <c r="G34" s="103"/>
      <c r="H34" s="265"/>
      <c r="I34" s="66"/>
    </row>
    <row r="35" spans="1:9" s="1" customFormat="1" ht="21.75" customHeight="1">
      <c r="A35" s="101" t="s">
        <v>38</v>
      </c>
      <c r="B35" s="97">
        <v>1054</v>
      </c>
      <c r="C35" s="102">
        <v>-61</v>
      </c>
      <c r="D35" s="102">
        <f>-15+-17+-18+-44</f>
        <v>-94</v>
      </c>
      <c r="E35" s="102">
        <v>-24</v>
      </c>
      <c r="F35" s="102">
        <v>-44</v>
      </c>
      <c r="G35" s="103"/>
      <c r="H35" s="265"/>
      <c r="I35" s="66"/>
    </row>
    <row r="36" spans="1:9" s="1" customFormat="1" ht="20.25" customHeight="1">
      <c r="A36" s="101" t="s">
        <v>58</v>
      </c>
      <c r="B36" s="97">
        <v>1055</v>
      </c>
      <c r="C36" s="102">
        <v>-67</v>
      </c>
      <c r="D36" s="102">
        <f>-10+-20+-14+-16</f>
        <v>-60</v>
      </c>
      <c r="E36" s="102">
        <v>-11</v>
      </c>
      <c r="F36" s="102">
        <v>-16</v>
      </c>
      <c r="G36" s="103"/>
      <c r="H36" s="265"/>
      <c r="I36" s="66"/>
    </row>
    <row r="37" spans="1:9" s="1" customFormat="1" ht="20.100000000000001" customHeight="1">
      <c r="A37" s="101" t="s">
        <v>39</v>
      </c>
      <c r="B37" s="97">
        <v>1056</v>
      </c>
      <c r="C37" s="102">
        <v>-30</v>
      </c>
      <c r="D37" s="102">
        <f>-9+-8+-13+-17</f>
        <v>-47</v>
      </c>
      <c r="E37" s="102">
        <v>-8</v>
      </c>
      <c r="F37" s="102">
        <v>-17</v>
      </c>
      <c r="G37" s="103"/>
      <c r="H37" s="265"/>
      <c r="I37" s="66"/>
    </row>
    <row r="38" spans="1:9" s="1" customFormat="1" ht="21.75" customHeight="1">
      <c r="A38" s="101" t="s">
        <v>40</v>
      </c>
      <c r="B38" s="97">
        <v>1057</v>
      </c>
      <c r="C38" s="102" t="s">
        <v>254</v>
      </c>
      <c r="D38" s="102" t="s">
        <v>254</v>
      </c>
      <c r="E38" s="102" t="s">
        <v>254</v>
      </c>
      <c r="F38" s="102" t="s">
        <v>254</v>
      </c>
      <c r="G38" s="103"/>
      <c r="H38" s="265"/>
      <c r="I38" s="66"/>
    </row>
    <row r="39" spans="1:9" s="1" customFormat="1" ht="30.75" customHeight="1">
      <c r="A39" s="101" t="s">
        <v>41</v>
      </c>
      <c r="B39" s="97">
        <v>1058</v>
      </c>
      <c r="C39" s="102" t="s">
        <v>254</v>
      </c>
      <c r="D39" s="102" t="s">
        <v>254</v>
      </c>
      <c r="E39" s="102" t="s">
        <v>254</v>
      </c>
      <c r="F39" s="102" t="s">
        <v>254</v>
      </c>
      <c r="G39" s="103"/>
      <c r="H39" s="265"/>
      <c r="I39" s="66"/>
    </row>
    <row r="40" spans="1:9" s="1" customFormat="1" ht="30.75" customHeight="1">
      <c r="A40" s="101" t="s">
        <v>42</v>
      </c>
      <c r="B40" s="97">
        <v>1059</v>
      </c>
      <c r="C40" s="102" t="s">
        <v>254</v>
      </c>
      <c r="D40" s="102" t="s">
        <v>254</v>
      </c>
      <c r="E40" s="102" t="s">
        <v>254</v>
      </c>
      <c r="F40" s="102" t="s">
        <v>254</v>
      </c>
      <c r="G40" s="103"/>
      <c r="H40" s="265"/>
      <c r="I40" s="66"/>
    </row>
    <row r="41" spans="1:9" s="1" customFormat="1" ht="50.25" customHeight="1">
      <c r="A41" s="101" t="s">
        <v>66</v>
      </c>
      <c r="B41" s="97">
        <v>1060</v>
      </c>
      <c r="C41" s="102" t="s">
        <v>254</v>
      </c>
      <c r="D41" s="102" t="s">
        <v>254</v>
      </c>
      <c r="E41" s="102" t="s">
        <v>254</v>
      </c>
      <c r="F41" s="102" t="s">
        <v>254</v>
      </c>
      <c r="G41" s="103"/>
      <c r="H41" s="265"/>
      <c r="I41" s="66"/>
    </row>
    <row r="42" spans="1:9" s="1" customFormat="1" ht="15" customHeight="1">
      <c r="A42" s="172" t="s">
        <v>43</v>
      </c>
      <c r="B42" s="193">
        <v>1061</v>
      </c>
      <c r="C42" s="170" t="s">
        <v>254</v>
      </c>
      <c r="D42" s="170" t="s">
        <v>254</v>
      </c>
      <c r="E42" s="170" t="s">
        <v>254</v>
      </c>
      <c r="F42" s="170" t="s">
        <v>254</v>
      </c>
      <c r="G42" s="171"/>
      <c r="H42" s="266"/>
      <c r="I42" s="66"/>
    </row>
    <row r="43" spans="1:9" s="1" customFormat="1" ht="16.5" customHeight="1">
      <c r="A43" s="101" t="s">
        <v>377</v>
      </c>
      <c r="B43" s="97">
        <v>1062</v>
      </c>
      <c r="C43" s="102">
        <v>-727</v>
      </c>
      <c r="D43" s="102">
        <f>-246+-82+-4+-118</f>
        <v>-450</v>
      </c>
      <c r="E43" s="102">
        <v>-176</v>
      </c>
      <c r="F43" s="102">
        <v>-118</v>
      </c>
      <c r="G43" s="103"/>
      <c r="H43" s="265"/>
      <c r="I43" s="66"/>
    </row>
    <row r="44" spans="1:9" ht="27.75" customHeight="1">
      <c r="A44" s="260" t="s">
        <v>378</v>
      </c>
      <c r="B44" s="187">
        <v>1070</v>
      </c>
      <c r="C44" s="203">
        <f>SUM(C47:C51)</f>
        <v>0</v>
      </c>
      <c r="D44" s="203">
        <f>SUM(D47:D51)</f>
        <v>0</v>
      </c>
      <c r="E44" s="203">
        <f>SUM(E47:E51)</f>
        <v>0</v>
      </c>
      <c r="F44" s="203">
        <f>SUM(F47:F51)</f>
        <v>0</v>
      </c>
      <c r="G44" s="203">
        <f>F44-E44</f>
        <v>0</v>
      </c>
      <c r="H44" s="264" t="e">
        <f>F44/E44*100</f>
        <v>#DIV/0!</v>
      </c>
      <c r="I44" s="66"/>
    </row>
    <row r="45" spans="1:9" ht="22.5" customHeight="1">
      <c r="A45" s="101" t="s">
        <v>33</v>
      </c>
      <c r="B45" s="97">
        <v>1071</v>
      </c>
      <c r="C45" s="102" t="s">
        <v>254</v>
      </c>
      <c r="D45" s="102"/>
      <c r="E45" s="102" t="s">
        <v>254</v>
      </c>
      <c r="F45" s="102" t="s">
        <v>254</v>
      </c>
      <c r="G45" s="103"/>
      <c r="H45" s="265"/>
      <c r="I45" s="66"/>
    </row>
    <row r="46" spans="1:9" ht="20.25" customHeight="1">
      <c r="A46" s="101" t="s">
        <v>34</v>
      </c>
      <c r="B46" s="97">
        <v>1072</v>
      </c>
      <c r="C46" s="102" t="s">
        <v>254</v>
      </c>
      <c r="D46" s="102"/>
      <c r="E46" s="102" t="s">
        <v>254</v>
      </c>
      <c r="F46" s="102" t="s">
        <v>254</v>
      </c>
      <c r="G46" s="103"/>
      <c r="H46" s="265"/>
      <c r="I46" s="66"/>
    </row>
    <row r="47" spans="1:9" s="1" customFormat="1" ht="21" customHeight="1">
      <c r="A47" s="101" t="s">
        <v>130</v>
      </c>
      <c r="B47" s="97">
        <v>1073</v>
      </c>
      <c r="C47" s="102" t="s">
        <v>254</v>
      </c>
      <c r="D47" s="102"/>
      <c r="E47" s="102" t="s">
        <v>254</v>
      </c>
      <c r="F47" s="102" t="s">
        <v>254</v>
      </c>
      <c r="G47" s="103"/>
      <c r="H47" s="265"/>
      <c r="I47" s="66"/>
    </row>
    <row r="48" spans="1:9" s="1" customFormat="1" ht="29.25" customHeight="1">
      <c r="A48" s="101" t="s">
        <v>55</v>
      </c>
      <c r="B48" s="97">
        <v>1074</v>
      </c>
      <c r="C48" s="102" t="s">
        <v>254</v>
      </c>
      <c r="D48" s="102"/>
      <c r="E48" s="102" t="s">
        <v>254</v>
      </c>
      <c r="F48" s="102" t="s">
        <v>254</v>
      </c>
      <c r="G48" s="103"/>
      <c r="H48" s="265"/>
      <c r="I48" s="66"/>
    </row>
    <row r="49" spans="1:9" s="1" customFormat="1" ht="19.5" customHeight="1">
      <c r="A49" s="101" t="s">
        <v>69</v>
      </c>
      <c r="B49" s="97">
        <v>1075</v>
      </c>
      <c r="C49" s="102" t="s">
        <v>254</v>
      </c>
      <c r="D49" s="102"/>
      <c r="E49" s="102" t="s">
        <v>254</v>
      </c>
      <c r="F49" s="102" t="s">
        <v>254</v>
      </c>
      <c r="G49" s="103"/>
      <c r="H49" s="265"/>
      <c r="I49" s="66"/>
    </row>
    <row r="50" spans="1:9" s="1" customFormat="1" ht="17.25" customHeight="1">
      <c r="A50" s="101" t="s">
        <v>131</v>
      </c>
      <c r="B50" s="97">
        <v>1076</v>
      </c>
      <c r="C50" s="102" t="s">
        <v>254</v>
      </c>
      <c r="D50" s="102"/>
      <c r="E50" s="102" t="s">
        <v>254</v>
      </c>
      <c r="F50" s="102" t="s">
        <v>254</v>
      </c>
      <c r="G50" s="103"/>
      <c r="H50" s="265"/>
      <c r="I50" s="66"/>
    </row>
    <row r="51" spans="1:9" s="1" customFormat="1" ht="24.75" customHeight="1">
      <c r="A51" s="101" t="s">
        <v>379</v>
      </c>
      <c r="B51" s="97">
        <v>1077</v>
      </c>
      <c r="C51" s="82" t="s">
        <v>254</v>
      </c>
      <c r="D51" s="82"/>
      <c r="E51" s="82" t="s">
        <v>254</v>
      </c>
      <c r="F51" s="82" t="s">
        <v>254</v>
      </c>
      <c r="G51" s="84"/>
      <c r="H51" s="267"/>
      <c r="I51" s="66"/>
    </row>
    <row r="52" spans="1:9" s="1" customFormat="1" ht="34.5" customHeight="1">
      <c r="A52" s="207" t="s">
        <v>380</v>
      </c>
      <c r="B52" s="187">
        <v>1080</v>
      </c>
      <c r="C52" s="203">
        <f>SUM(C53:C57)</f>
        <v>-3261</v>
      </c>
      <c r="D52" s="203">
        <f>SUM(D53:D57)</f>
        <v>-586</v>
      </c>
      <c r="E52" s="203">
        <f>SUM(E53:E57)</f>
        <v>-5</v>
      </c>
      <c r="F52" s="203">
        <f>SUM(F53:F57)</f>
        <v>-27</v>
      </c>
      <c r="G52" s="203">
        <f>F52-E52</f>
        <v>-22</v>
      </c>
      <c r="H52" s="264">
        <f>F52/E52*100</f>
        <v>540</v>
      </c>
      <c r="I52" s="66"/>
    </row>
    <row r="53" spans="1:9" s="1" customFormat="1" ht="20.100000000000001" customHeight="1">
      <c r="A53" s="101" t="s">
        <v>63</v>
      </c>
      <c r="B53" s="97">
        <v>1081</v>
      </c>
      <c r="C53" s="102" t="s">
        <v>254</v>
      </c>
      <c r="D53" s="102"/>
      <c r="E53" s="102" t="s">
        <v>254</v>
      </c>
      <c r="F53" s="102" t="s">
        <v>254</v>
      </c>
      <c r="G53" s="103"/>
      <c r="H53" s="265"/>
      <c r="I53" s="66"/>
    </row>
    <row r="54" spans="1:9" s="1" customFormat="1" ht="20.100000000000001" customHeight="1">
      <c r="A54" s="101" t="s">
        <v>44</v>
      </c>
      <c r="B54" s="97">
        <v>1082</v>
      </c>
      <c r="C54" s="102">
        <v>-1950</v>
      </c>
      <c r="D54" s="102">
        <f>0+-540</f>
        <v>-540</v>
      </c>
      <c r="E54" s="102" t="s">
        <v>254</v>
      </c>
      <c r="F54" s="102">
        <v>0</v>
      </c>
      <c r="G54" s="103"/>
      <c r="H54" s="265"/>
      <c r="I54" s="66"/>
    </row>
    <row r="55" spans="1:9" s="1" customFormat="1" ht="18.75" customHeight="1">
      <c r="A55" s="101" t="s">
        <v>53</v>
      </c>
      <c r="B55" s="97">
        <v>1083</v>
      </c>
      <c r="C55" s="102"/>
      <c r="D55" s="102"/>
      <c r="E55" s="102" t="s">
        <v>254</v>
      </c>
      <c r="F55" s="102" t="s">
        <v>254</v>
      </c>
      <c r="G55" s="103"/>
      <c r="H55" s="265"/>
      <c r="I55" s="66"/>
    </row>
    <row r="56" spans="1:9" s="1" customFormat="1" ht="20.100000000000001" customHeight="1">
      <c r="A56" s="101" t="s">
        <v>157</v>
      </c>
      <c r="B56" s="97">
        <v>1084</v>
      </c>
      <c r="C56" s="102"/>
      <c r="D56" s="102"/>
      <c r="E56" s="102" t="s">
        <v>254</v>
      </c>
      <c r="F56" s="102" t="s">
        <v>254</v>
      </c>
      <c r="G56" s="103"/>
      <c r="H56" s="265"/>
      <c r="I56" s="66"/>
    </row>
    <row r="57" spans="1:9" s="1" customFormat="1" ht="21.75" customHeight="1">
      <c r="A57" s="101" t="s">
        <v>381</v>
      </c>
      <c r="B57" s="97">
        <v>1085</v>
      </c>
      <c r="C57" s="102">
        <v>-1311</v>
      </c>
      <c r="D57" s="102">
        <f>-15+-3+-1+-27</f>
        <v>-46</v>
      </c>
      <c r="E57" s="102">
        <v>-5</v>
      </c>
      <c r="F57" s="102">
        <v>-27</v>
      </c>
      <c r="G57" s="103"/>
      <c r="H57" s="265"/>
      <c r="I57" s="66"/>
    </row>
    <row r="58" spans="1:9" s="4" customFormat="1" ht="38.25" customHeight="1">
      <c r="A58" s="194" t="s">
        <v>2</v>
      </c>
      <c r="B58" s="187">
        <v>1100</v>
      </c>
      <c r="C58" s="153">
        <f>C17+C19+C21+C44+C52</f>
        <v>2351</v>
      </c>
      <c r="D58" s="153">
        <f>D17+D19+D21+D44+D52</f>
        <v>823</v>
      </c>
      <c r="E58" s="153">
        <f>E17+E19+E21+E44+E52</f>
        <v>50</v>
      </c>
      <c r="F58" s="153">
        <f>F17+F19+F21+F44+F52</f>
        <v>-222</v>
      </c>
      <c r="G58" s="153">
        <f t="shared" ref="G58:G73" si="2">F58-E58</f>
        <v>-272</v>
      </c>
      <c r="H58" s="264">
        <f>F58/E58*100</f>
        <v>-444.00000000000006</v>
      </c>
      <c r="I58" s="67"/>
    </row>
    <row r="59" spans="1:9" ht="33.75" customHeight="1">
      <c r="A59" s="9" t="s">
        <v>383</v>
      </c>
      <c r="B59" s="97">
        <v>1110</v>
      </c>
      <c r="C59" s="82"/>
      <c r="D59" s="82"/>
      <c r="E59" s="82"/>
      <c r="F59" s="82"/>
      <c r="G59" s="84">
        <f t="shared" si="2"/>
        <v>0</v>
      </c>
      <c r="H59" s="267"/>
      <c r="I59" s="66"/>
    </row>
    <row r="60" spans="1:9" ht="24" customHeight="1">
      <c r="A60" s="9" t="s">
        <v>382</v>
      </c>
      <c r="B60" s="97">
        <v>1120</v>
      </c>
      <c r="C60" s="82"/>
      <c r="D60" s="82"/>
      <c r="E60" s="82"/>
      <c r="F60" s="82"/>
      <c r="G60" s="84">
        <f t="shared" si="2"/>
        <v>0</v>
      </c>
      <c r="H60" s="267"/>
      <c r="I60" s="66"/>
    </row>
    <row r="61" spans="1:9" ht="36" customHeight="1">
      <c r="A61" s="9" t="s">
        <v>386</v>
      </c>
      <c r="B61" s="97">
        <v>1130</v>
      </c>
      <c r="C61" s="82" t="s">
        <v>254</v>
      </c>
      <c r="D61" s="82"/>
      <c r="E61" s="82" t="s">
        <v>254</v>
      </c>
      <c r="F61" s="82" t="s">
        <v>254</v>
      </c>
      <c r="G61" s="84"/>
      <c r="H61" s="267"/>
      <c r="I61" s="66"/>
    </row>
    <row r="62" spans="1:9" ht="24.75" customHeight="1">
      <c r="A62" s="9" t="s">
        <v>388</v>
      </c>
      <c r="B62" s="97">
        <v>1140</v>
      </c>
      <c r="C62" s="82" t="s">
        <v>254</v>
      </c>
      <c r="D62" s="82"/>
      <c r="E62" s="82" t="s">
        <v>254</v>
      </c>
      <c r="F62" s="82" t="s">
        <v>254</v>
      </c>
      <c r="G62" s="84"/>
      <c r="H62" s="267"/>
      <c r="I62" s="66"/>
    </row>
    <row r="63" spans="1:9" ht="26.25" customHeight="1">
      <c r="A63" s="9" t="s">
        <v>387</v>
      </c>
      <c r="B63" s="97">
        <v>1150</v>
      </c>
      <c r="C63" s="82"/>
      <c r="D63" s="82"/>
      <c r="E63" s="82"/>
      <c r="F63" s="82"/>
      <c r="G63" s="84">
        <f t="shared" si="2"/>
        <v>0</v>
      </c>
      <c r="H63" s="267"/>
      <c r="I63" s="66"/>
    </row>
    <row r="64" spans="1:9" ht="18.75" customHeight="1">
      <c r="A64" s="101" t="s">
        <v>157</v>
      </c>
      <c r="B64" s="97">
        <v>1151</v>
      </c>
      <c r="C64" s="102"/>
      <c r="D64" s="102"/>
      <c r="E64" s="102"/>
      <c r="F64" s="102"/>
      <c r="G64" s="103">
        <f t="shared" si="2"/>
        <v>0</v>
      </c>
      <c r="H64" s="265"/>
      <c r="I64" s="66"/>
    </row>
    <row r="65" spans="1:9" ht="28.5" customHeight="1">
      <c r="A65" s="9" t="s">
        <v>389</v>
      </c>
      <c r="B65" s="97">
        <v>1160</v>
      </c>
      <c r="C65" s="82" t="s">
        <v>254</v>
      </c>
      <c r="D65" s="82"/>
      <c r="E65" s="82" t="s">
        <v>254</v>
      </c>
      <c r="F65" s="82" t="s">
        <v>254</v>
      </c>
      <c r="G65" s="84"/>
      <c r="H65" s="267"/>
      <c r="I65" s="66"/>
    </row>
    <row r="66" spans="1:9" ht="18.75" customHeight="1">
      <c r="A66" s="101" t="s">
        <v>157</v>
      </c>
      <c r="B66" s="97">
        <v>1161</v>
      </c>
      <c r="C66" s="102" t="s">
        <v>254</v>
      </c>
      <c r="D66" s="102"/>
      <c r="E66" s="102" t="s">
        <v>254</v>
      </c>
      <c r="F66" s="102" t="s">
        <v>254</v>
      </c>
      <c r="G66" s="103"/>
      <c r="H66" s="265"/>
      <c r="I66" s="66"/>
    </row>
    <row r="67" spans="1:9" s="4" customFormat="1" ht="39" customHeight="1">
      <c r="A67" s="194" t="s">
        <v>80</v>
      </c>
      <c r="B67" s="187">
        <v>1170</v>
      </c>
      <c r="C67" s="153">
        <f>SUM(C58,C59,C60,C61,C62,C63,C65)</f>
        <v>2351</v>
      </c>
      <c r="D67" s="153">
        <f>SUM(D58,D59,D60,D61,D62,D63,D65)</f>
        <v>823</v>
      </c>
      <c r="E67" s="153">
        <f>SUM(E58,E59,E60,E61,E62,E63,E65)</f>
        <v>50</v>
      </c>
      <c r="F67" s="153">
        <f>SUM(F58,F59,F60,F61,F62,F63,F65)</f>
        <v>-222</v>
      </c>
      <c r="G67" s="153">
        <f t="shared" si="2"/>
        <v>-272</v>
      </c>
      <c r="H67" s="264">
        <f>F67/E67*100</f>
        <v>-444.00000000000006</v>
      </c>
      <c r="I67" s="67"/>
    </row>
    <row r="68" spans="1:9" ht="33.75" customHeight="1">
      <c r="A68" s="7" t="s">
        <v>103</v>
      </c>
      <c r="B68" s="97">
        <v>1180</v>
      </c>
      <c r="C68" s="82">
        <v>-820</v>
      </c>
      <c r="D68" s="82">
        <f>-99+-154+-56+23</f>
        <v>-286</v>
      </c>
      <c r="E68" s="82">
        <v>-9</v>
      </c>
      <c r="F68" s="82">
        <v>23</v>
      </c>
      <c r="G68" s="84">
        <f t="shared" si="2"/>
        <v>32</v>
      </c>
      <c r="H68" s="267"/>
      <c r="I68" s="66"/>
    </row>
    <row r="69" spans="1:9" ht="38.25" customHeight="1">
      <c r="A69" s="7" t="s">
        <v>104</v>
      </c>
      <c r="B69" s="97">
        <v>1190</v>
      </c>
      <c r="C69" s="82"/>
      <c r="D69" s="82"/>
      <c r="E69" s="82"/>
      <c r="F69" s="82"/>
      <c r="G69" s="84">
        <f t="shared" si="2"/>
        <v>0</v>
      </c>
      <c r="H69" s="267"/>
      <c r="I69" s="66"/>
    </row>
    <row r="70" spans="1:9" s="4" customFormat="1" ht="40.5" customHeight="1">
      <c r="A70" s="194" t="s">
        <v>384</v>
      </c>
      <c r="B70" s="187">
        <v>1200</v>
      </c>
      <c r="C70" s="153">
        <f>SUM(C67,C68,C69)</f>
        <v>1531</v>
      </c>
      <c r="D70" s="153">
        <f>SUM(D67,D68,D69)</f>
        <v>537</v>
      </c>
      <c r="E70" s="153">
        <f>SUM(E67,E68,E69)</f>
        <v>41</v>
      </c>
      <c r="F70" s="153">
        <f>SUM(F67,F68,F69)</f>
        <v>-199</v>
      </c>
      <c r="G70" s="153">
        <f t="shared" si="2"/>
        <v>-240</v>
      </c>
      <c r="H70" s="264">
        <f>F70/E70*100</f>
        <v>-485.36585365853659</v>
      </c>
      <c r="I70" s="67"/>
    </row>
    <row r="71" spans="1:9" ht="24.75" customHeight="1">
      <c r="A71" s="7" t="s">
        <v>19</v>
      </c>
      <c r="B71" s="90">
        <v>1201</v>
      </c>
      <c r="C71" s="82">
        <v>1531</v>
      </c>
      <c r="D71" s="82">
        <v>537</v>
      </c>
      <c r="E71" s="82">
        <v>41</v>
      </c>
      <c r="F71" s="82"/>
      <c r="G71" s="84">
        <f t="shared" si="2"/>
        <v>-41</v>
      </c>
      <c r="H71" s="267"/>
      <c r="I71" s="65"/>
    </row>
    <row r="72" spans="1:9" ht="21" customHeight="1">
      <c r="A72" s="7" t="s">
        <v>20</v>
      </c>
      <c r="B72" s="90">
        <v>1202</v>
      </c>
      <c r="C72" s="82" t="s">
        <v>494</v>
      </c>
      <c r="D72" s="82"/>
      <c r="E72" s="82" t="s">
        <v>254</v>
      </c>
      <c r="F72" s="82">
        <v>199</v>
      </c>
      <c r="G72" s="84"/>
      <c r="H72" s="267"/>
      <c r="I72" s="65"/>
    </row>
    <row r="73" spans="1:9" ht="19.5" customHeight="1">
      <c r="A73" s="101" t="s">
        <v>185</v>
      </c>
      <c r="B73" s="97">
        <v>1210</v>
      </c>
      <c r="C73" s="102"/>
      <c r="D73" s="102"/>
      <c r="E73" s="102"/>
      <c r="F73" s="102"/>
      <c r="G73" s="103">
        <f t="shared" si="2"/>
        <v>0</v>
      </c>
      <c r="H73" s="265"/>
      <c r="I73" s="66"/>
    </row>
    <row r="74" spans="1:9" s="4" customFormat="1" ht="27.75" customHeight="1">
      <c r="A74" s="495" t="s">
        <v>199</v>
      </c>
      <c r="B74" s="495"/>
      <c r="C74" s="495"/>
      <c r="D74" s="495"/>
      <c r="E74" s="495"/>
      <c r="F74" s="495"/>
      <c r="G74" s="495"/>
      <c r="H74" s="495"/>
      <c r="I74" s="495"/>
    </row>
    <row r="75" spans="1:9" ht="36" customHeight="1">
      <c r="A75" s="59" t="s">
        <v>260</v>
      </c>
      <c r="B75" s="90">
        <v>1300</v>
      </c>
      <c r="C75" s="84">
        <f>SUM(C19,C52)</f>
        <v>-3084</v>
      </c>
      <c r="D75" s="84">
        <f>SUM(D19,D52)</f>
        <v>-430</v>
      </c>
      <c r="E75" s="84">
        <f>SUM(E19,E52)</f>
        <v>-5</v>
      </c>
      <c r="F75" s="84">
        <f>SUM(F19,F52)</f>
        <v>74</v>
      </c>
      <c r="G75" s="84">
        <f>F75-E75</f>
        <v>79</v>
      </c>
      <c r="H75" s="264">
        <f>F75/E75*100</f>
        <v>-1480</v>
      </c>
      <c r="I75" s="65"/>
    </row>
    <row r="76" spans="1:9" ht="54.75" customHeight="1">
      <c r="A76" s="62" t="s">
        <v>258</v>
      </c>
      <c r="B76" s="90">
        <v>1310</v>
      </c>
      <c r="C76" s="84">
        <f>SUM(C59,C60,C61,C62)</f>
        <v>0</v>
      </c>
      <c r="D76" s="84"/>
      <c r="E76" s="84">
        <f>SUM(E59,E60,E61,E62)</f>
        <v>0</v>
      </c>
      <c r="F76" s="84">
        <f>SUM(F59,F60,F61,F62)</f>
        <v>0</v>
      </c>
      <c r="G76" s="84">
        <f>F76-E76</f>
        <v>0</v>
      </c>
      <c r="H76" s="264" t="e">
        <f t="shared" ref="H76:H88" si="3">F76/E76*100</f>
        <v>#DIV/0!</v>
      </c>
      <c r="I76" s="65"/>
    </row>
    <row r="77" spans="1:9" ht="35.25" customHeight="1">
      <c r="A77" s="59" t="s">
        <v>259</v>
      </c>
      <c r="B77" s="90">
        <v>1320</v>
      </c>
      <c r="C77" s="84">
        <f>SUM(C63,C65)</f>
        <v>0</v>
      </c>
      <c r="D77" s="84"/>
      <c r="E77" s="84">
        <f>SUM(E63,E65)</f>
        <v>0</v>
      </c>
      <c r="F77" s="84">
        <f>SUM(F63,F65)</f>
        <v>0</v>
      </c>
      <c r="G77" s="84">
        <f>F77-E77</f>
        <v>0</v>
      </c>
      <c r="H77" s="264" t="e">
        <f t="shared" si="3"/>
        <v>#DIV/0!</v>
      </c>
      <c r="I77" s="65"/>
    </row>
    <row r="78" spans="1:9" ht="30" customHeight="1">
      <c r="A78" s="191" t="s">
        <v>13</v>
      </c>
      <c r="B78" s="192">
        <v>1330</v>
      </c>
      <c r="C78" s="203">
        <f>C7+C19+C59+C60+C63</f>
        <v>48942</v>
      </c>
      <c r="D78" s="203">
        <f>D7+D19+D59+D60+D63</f>
        <v>48410</v>
      </c>
      <c r="E78" s="203">
        <f>E7+E19+E59+E60+E63</f>
        <v>11455</v>
      </c>
      <c r="F78" s="203">
        <f>F7+F19+F59+F60+F63</f>
        <v>12149</v>
      </c>
      <c r="G78" s="203">
        <f>F78-E78</f>
        <v>694</v>
      </c>
      <c r="H78" s="264">
        <f t="shared" si="3"/>
        <v>106.05848974247054</v>
      </c>
      <c r="I78" s="66"/>
    </row>
    <row r="79" spans="1:9" ht="30" customHeight="1">
      <c r="A79" s="191" t="s">
        <v>88</v>
      </c>
      <c r="B79" s="192">
        <v>1340</v>
      </c>
      <c r="C79" s="203">
        <f>C8+C21+C68+C52</f>
        <v>-47411</v>
      </c>
      <c r="D79" s="203">
        <f>D8+D21+D68+D52</f>
        <v>-47873</v>
      </c>
      <c r="E79" s="203">
        <f>E8+E21+E68+E52</f>
        <v>-11414</v>
      </c>
      <c r="F79" s="203">
        <f>F8+F21+F68+F52</f>
        <v>-12348</v>
      </c>
      <c r="G79" s="203">
        <f>F79-E79</f>
        <v>-934</v>
      </c>
      <c r="H79" s="264">
        <f t="shared" si="3"/>
        <v>108.18293323988084</v>
      </c>
      <c r="I79" s="66"/>
    </row>
    <row r="80" spans="1:9" ht="50.25" customHeight="1">
      <c r="A80" s="492" t="s">
        <v>166</v>
      </c>
      <c r="B80" s="493"/>
      <c r="C80" s="493"/>
      <c r="D80" s="493"/>
      <c r="E80" s="493"/>
      <c r="F80" s="493"/>
      <c r="G80" s="493"/>
      <c r="H80" s="493"/>
      <c r="I80" s="494"/>
    </row>
    <row r="81" spans="1:9" ht="36.75" customHeight="1">
      <c r="A81" s="7" t="s">
        <v>200</v>
      </c>
      <c r="B81" s="97">
        <v>1500</v>
      </c>
      <c r="C81" s="82">
        <v>18124</v>
      </c>
      <c r="D81" s="82">
        <f>4235+4554+4802+4314</f>
        <v>17905</v>
      </c>
      <c r="E81" s="82">
        <v>4007</v>
      </c>
      <c r="F81" s="82">
        <v>4314</v>
      </c>
      <c r="G81" s="84">
        <f t="shared" ref="G81:G88" si="4">F81-E81</f>
        <v>307</v>
      </c>
      <c r="H81" s="264">
        <f t="shared" si="3"/>
        <v>107.66159221362615</v>
      </c>
      <c r="I81" s="66"/>
    </row>
    <row r="82" spans="1:9" ht="20.25" customHeight="1">
      <c r="A82" s="101" t="s">
        <v>201</v>
      </c>
      <c r="B82" s="98">
        <v>1501</v>
      </c>
      <c r="C82" s="102">
        <v>14142</v>
      </c>
      <c r="D82" s="448">
        <f>3134+3608+3975+3334</f>
        <v>14051</v>
      </c>
      <c r="E82" s="102">
        <v>3010</v>
      </c>
      <c r="F82" s="448">
        <f>F81-F83</f>
        <v>3334</v>
      </c>
      <c r="G82" s="103">
        <f t="shared" si="4"/>
        <v>324</v>
      </c>
      <c r="H82" s="264">
        <f t="shared" si="3"/>
        <v>110.7641196013289</v>
      </c>
      <c r="I82" s="200"/>
    </row>
    <row r="83" spans="1:9" ht="19.5" customHeight="1">
      <c r="A83" s="101" t="s">
        <v>23</v>
      </c>
      <c r="B83" s="98">
        <v>1502</v>
      </c>
      <c r="C83" s="102">
        <v>3982</v>
      </c>
      <c r="D83" s="448">
        <f>1101+946+827+980</f>
        <v>3854</v>
      </c>
      <c r="E83" s="102">
        <v>997</v>
      </c>
      <c r="F83" s="448">
        <f>159+813+8</f>
        <v>980</v>
      </c>
      <c r="G83" s="103">
        <f t="shared" si="4"/>
        <v>-17</v>
      </c>
      <c r="H83" s="264">
        <f t="shared" si="3"/>
        <v>98.294884653961887</v>
      </c>
      <c r="I83" s="200"/>
    </row>
    <row r="84" spans="1:9" ht="24.75" customHeight="1">
      <c r="A84" s="7" t="s">
        <v>3</v>
      </c>
      <c r="B84" s="99">
        <v>1510</v>
      </c>
      <c r="C84" s="82">
        <v>20529</v>
      </c>
      <c r="D84" s="82">
        <f>5522+5474+5999+6157</f>
        <v>23152</v>
      </c>
      <c r="E84" s="82">
        <v>5849</v>
      </c>
      <c r="F84" s="82">
        <v>6157</v>
      </c>
      <c r="G84" s="84">
        <f t="shared" si="4"/>
        <v>308</v>
      </c>
      <c r="H84" s="264">
        <f t="shared" si="3"/>
        <v>105.26585741152334</v>
      </c>
      <c r="I84" s="66"/>
    </row>
    <row r="85" spans="1:9" ht="24" customHeight="1">
      <c r="A85" s="7" t="s">
        <v>4</v>
      </c>
      <c r="B85" s="99">
        <v>1520</v>
      </c>
      <c r="C85" s="82">
        <v>4439</v>
      </c>
      <c r="D85" s="82">
        <f>1217+1179+1288+1431</f>
        <v>5115</v>
      </c>
      <c r="E85" s="82">
        <v>1279</v>
      </c>
      <c r="F85" s="82">
        <v>1431</v>
      </c>
      <c r="G85" s="84">
        <f t="shared" si="4"/>
        <v>152</v>
      </c>
      <c r="H85" s="264">
        <f t="shared" si="3"/>
        <v>111.88428459734168</v>
      </c>
      <c r="I85" s="66"/>
    </row>
    <row r="86" spans="1:9" ht="18.75" customHeight="1">
      <c r="A86" s="7" t="s">
        <v>5</v>
      </c>
      <c r="B86" s="99">
        <v>1530</v>
      </c>
      <c r="C86" s="82">
        <v>388</v>
      </c>
      <c r="D86" s="82">
        <f>102+105+107+104</f>
        <v>418</v>
      </c>
      <c r="E86" s="82">
        <v>96</v>
      </c>
      <c r="F86" s="82">
        <v>104</v>
      </c>
      <c r="G86" s="84">
        <f t="shared" si="4"/>
        <v>8</v>
      </c>
      <c r="H86" s="264">
        <f t="shared" si="3"/>
        <v>108.33333333333333</v>
      </c>
      <c r="I86" s="66"/>
    </row>
    <row r="87" spans="1:9" ht="24" customHeight="1">
      <c r="A87" s="7" t="s">
        <v>24</v>
      </c>
      <c r="B87" s="99">
        <v>1540</v>
      </c>
      <c r="C87" s="82">
        <v>3112</v>
      </c>
      <c r="D87" s="82">
        <f>427+620+-415+365</f>
        <v>997</v>
      </c>
      <c r="E87" s="82">
        <v>174</v>
      </c>
      <c r="F87" s="82">
        <v>365</v>
      </c>
      <c r="G87" s="84">
        <f t="shared" si="4"/>
        <v>191</v>
      </c>
      <c r="H87" s="264">
        <f t="shared" si="3"/>
        <v>209.77011494252875</v>
      </c>
      <c r="I87" s="66"/>
    </row>
    <row r="88" spans="1:9" s="4" customFormat="1" ht="23.25" customHeight="1">
      <c r="A88" s="9" t="s">
        <v>49</v>
      </c>
      <c r="B88" s="100">
        <v>1550</v>
      </c>
      <c r="C88" s="203">
        <f>SUM(C81,C84:C87)</f>
        <v>46592</v>
      </c>
      <c r="D88" s="203">
        <f>SUM(D81,D84:D87)</f>
        <v>47587</v>
      </c>
      <c r="E88" s="203">
        <f>SUM(E81,E84:E87)</f>
        <v>11405</v>
      </c>
      <c r="F88" s="203">
        <f>SUM(F81,F84:F87)</f>
        <v>12371</v>
      </c>
      <c r="G88" s="203">
        <f t="shared" si="4"/>
        <v>966</v>
      </c>
      <c r="H88" s="264">
        <f t="shared" si="3"/>
        <v>108.46996931170538</v>
      </c>
      <c r="I88" s="67"/>
    </row>
    <row r="89" spans="1:9" ht="6.75" customHeight="1">
      <c r="A89" s="23"/>
    </row>
    <row r="90" spans="1:9" ht="29.25" customHeight="1">
      <c r="A90" s="496" t="s">
        <v>707</v>
      </c>
      <c r="B90" s="496"/>
      <c r="C90" s="496"/>
      <c r="D90" s="345"/>
      <c r="E90" s="346"/>
      <c r="F90" s="472" t="s">
        <v>489</v>
      </c>
      <c r="G90" s="472"/>
      <c r="H90" s="472"/>
      <c r="I90" s="2"/>
    </row>
    <row r="91" spans="1:9" s="1" customFormat="1" ht="21.75" customHeight="1">
      <c r="A91" s="110" t="s">
        <v>234</v>
      </c>
      <c r="B91" s="487"/>
      <c r="C91" s="487"/>
      <c r="D91" s="253"/>
      <c r="E91" s="111"/>
      <c r="F91" s="491" t="s">
        <v>708</v>
      </c>
      <c r="G91" s="491"/>
      <c r="H91" s="491"/>
    </row>
    <row r="92" spans="1:9">
      <c r="A92" s="351" t="s">
        <v>553</v>
      </c>
      <c r="B92" s="95"/>
      <c r="C92" s="95"/>
      <c r="D92" s="95"/>
      <c r="E92" s="95"/>
      <c r="F92" s="95"/>
      <c r="G92" s="95"/>
      <c r="H92" s="269"/>
    </row>
    <row r="93" spans="1:9">
      <c r="A93" s="23"/>
    </row>
    <row r="94" spans="1:9">
      <c r="A94" s="23"/>
    </row>
    <row r="95" spans="1:9">
      <c r="A95" s="23"/>
    </row>
    <row r="96" spans="1:9">
      <c r="A96" s="23"/>
    </row>
    <row r="97" spans="1:1">
      <c r="A97" s="23"/>
    </row>
    <row r="98" spans="1:1">
      <c r="A98" s="23"/>
    </row>
    <row r="99" spans="1:1">
      <c r="A99" s="23"/>
    </row>
    <row r="100" spans="1:1">
      <c r="A100" s="23"/>
    </row>
    <row r="101" spans="1:1">
      <c r="A101" s="23"/>
    </row>
    <row r="102" spans="1:1">
      <c r="A102" s="23"/>
    </row>
    <row r="103" spans="1:1">
      <c r="A103" s="23"/>
    </row>
    <row r="104" spans="1:1">
      <c r="A104" s="23"/>
    </row>
    <row r="105" spans="1:1">
      <c r="A105" s="23"/>
    </row>
    <row r="106" spans="1:1">
      <c r="A106" s="23"/>
    </row>
    <row r="107" spans="1:1">
      <c r="A107" s="23"/>
    </row>
    <row r="108" spans="1:1">
      <c r="A108" s="23"/>
    </row>
    <row r="109" spans="1:1">
      <c r="A109" s="23"/>
    </row>
    <row r="110" spans="1:1">
      <c r="A110" s="23"/>
    </row>
    <row r="111" spans="1:1">
      <c r="A111" s="23"/>
    </row>
    <row r="112" spans="1:1">
      <c r="A112" s="23"/>
    </row>
    <row r="113" spans="1:1">
      <c r="A113" s="23"/>
    </row>
    <row r="114" spans="1:1">
      <c r="A114" s="23"/>
    </row>
    <row r="115" spans="1:1">
      <c r="A115" s="23"/>
    </row>
    <row r="116" spans="1:1">
      <c r="A116" s="23"/>
    </row>
    <row r="117" spans="1:1">
      <c r="A117" s="23"/>
    </row>
    <row r="118" spans="1:1">
      <c r="A118" s="23"/>
    </row>
    <row r="119" spans="1:1">
      <c r="A119" s="23"/>
    </row>
    <row r="120" spans="1:1">
      <c r="A120" s="23"/>
    </row>
    <row r="121" spans="1:1">
      <c r="A121" s="23"/>
    </row>
    <row r="122" spans="1:1">
      <c r="A122" s="23"/>
    </row>
    <row r="123" spans="1:1">
      <c r="A123" s="23"/>
    </row>
    <row r="124" spans="1:1">
      <c r="A124" s="23"/>
    </row>
    <row r="125" spans="1:1">
      <c r="A125" s="23"/>
    </row>
    <row r="126" spans="1:1">
      <c r="A126" s="23"/>
    </row>
    <row r="127" spans="1:1">
      <c r="A127" s="23"/>
    </row>
    <row r="128" spans="1:1">
      <c r="A128" s="23"/>
    </row>
    <row r="129" spans="1:1">
      <c r="A129" s="23"/>
    </row>
    <row r="130" spans="1:1">
      <c r="A130" s="23"/>
    </row>
    <row r="131" spans="1:1">
      <c r="A131" s="23"/>
    </row>
    <row r="132" spans="1:1">
      <c r="A132" s="23"/>
    </row>
    <row r="133" spans="1:1">
      <c r="A133" s="23"/>
    </row>
    <row r="134" spans="1:1">
      <c r="A134" s="23"/>
    </row>
    <row r="135" spans="1:1">
      <c r="A135" s="23"/>
    </row>
    <row r="136" spans="1:1">
      <c r="A136" s="23"/>
    </row>
    <row r="137" spans="1:1">
      <c r="A137" s="23"/>
    </row>
    <row r="138" spans="1:1">
      <c r="A138" s="23"/>
    </row>
    <row r="139" spans="1:1">
      <c r="A139" s="23"/>
    </row>
    <row r="140" spans="1:1">
      <c r="A140" s="23"/>
    </row>
    <row r="141" spans="1:1">
      <c r="A141" s="23"/>
    </row>
    <row r="142" spans="1:1">
      <c r="A142" s="23"/>
    </row>
    <row r="143" spans="1:1">
      <c r="A143" s="23"/>
    </row>
    <row r="144" spans="1:1">
      <c r="A144" s="23"/>
    </row>
    <row r="145" spans="1:1">
      <c r="A145" s="23"/>
    </row>
    <row r="146" spans="1:1">
      <c r="A146" s="23"/>
    </row>
    <row r="147" spans="1:1">
      <c r="A147" s="23"/>
    </row>
    <row r="148" spans="1:1">
      <c r="A148" s="23"/>
    </row>
    <row r="149" spans="1:1">
      <c r="A149" s="23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  <row r="259" spans="1:1">
      <c r="A259" s="40"/>
    </row>
    <row r="260" spans="1:1">
      <c r="A260" s="40"/>
    </row>
    <row r="261" spans="1:1">
      <c r="A261" s="40"/>
    </row>
    <row r="262" spans="1:1">
      <c r="A262" s="40"/>
    </row>
    <row r="263" spans="1:1">
      <c r="A263" s="40"/>
    </row>
    <row r="264" spans="1:1">
      <c r="A264" s="40"/>
    </row>
    <row r="265" spans="1:1">
      <c r="A265" s="40"/>
    </row>
    <row r="266" spans="1:1">
      <c r="A266" s="40"/>
    </row>
    <row r="267" spans="1:1">
      <c r="A267" s="40"/>
    </row>
    <row r="268" spans="1:1">
      <c r="A268" s="40"/>
    </row>
    <row r="269" spans="1:1">
      <c r="A269" s="40"/>
    </row>
    <row r="270" spans="1:1">
      <c r="A270" s="40"/>
    </row>
    <row r="271" spans="1:1">
      <c r="A271" s="40"/>
    </row>
    <row r="272" spans="1:1">
      <c r="A272" s="40"/>
    </row>
    <row r="273" spans="1:1">
      <c r="A273" s="40"/>
    </row>
    <row r="274" spans="1:1">
      <c r="A274" s="40"/>
    </row>
    <row r="275" spans="1:1">
      <c r="A275" s="40"/>
    </row>
    <row r="276" spans="1:1">
      <c r="A276" s="40"/>
    </row>
    <row r="277" spans="1:1">
      <c r="A277" s="40"/>
    </row>
    <row r="278" spans="1:1">
      <c r="A278" s="40"/>
    </row>
    <row r="279" spans="1:1">
      <c r="A279" s="40"/>
    </row>
    <row r="280" spans="1:1">
      <c r="A280" s="40"/>
    </row>
    <row r="281" spans="1:1">
      <c r="A281" s="40"/>
    </row>
    <row r="282" spans="1:1">
      <c r="A282" s="40"/>
    </row>
    <row r="283" spans="1:1">
      <c r="A283" s="40"/>
    </row>
    <row r="284" spans="1:1">
      <c r="A284" s="40"/>
    </row>
    <row r="285" spans="1:1">
      <c r="A285" s="40"/>
    </row>
    <row r="286" spans="1:1">
      <c r="A286" s="40"/>
    </row>
    <row r="287" spans="1:1">
      <c r="A287" s="40"/>
    </row>
    <row r="288" spans="1:1">
      <c r="A288" s="40"/>
    </row>
    <row r="289" spans="1:1">
      <c r="A289" s="40"/>
    </row>
    <row r="290" spans="1:1">
      <c r="A290" s="40"/>
    </row>
    <row r="291" spans="1:1">
      <c r="A291" s="40"/>
    </row>
    <row r="292" spans="1:1">
      <c r="A292" s="40"/>
    </row>
    <row r="293" spans="1:1">
      <c r="A293" s="40"/>
    </row>
    <row r="294" spans="1:1">
      <c r="A294" s="40"/>
    </row>
    <row r="295" spans="1:1">
      <c r="A295" s="40"/>
    </row>
    <row r="296" spans="1:1">
      <c r="A296" s="40"/>
    </row>
    <row r="297" spans="1:1">
      <c r="A297" s="40"/>
    </row>
    <row r="298" spans="1:1">
      <c r="A298" s="40"/>
    </row>
    <row r="299" spans="1:1">
      <c r="A299" s="40"/>
    </row>
    <row r="300" spans="1:1">
      <c r="A300" s="40"/>
    </row>
    <row r="301" spans="1:1">
      <c r="A301" s="40"/>
    </row>
    <row r="302" spans="1:1">
      <c r="A302" s="40"/>
    </row>
    <row r="303" spans="1:1">
      <c r="A303" s="40"/>
    </row>
    <row r="304" spans="1:1">
      <c r="A304" s="40"/>
    </row>
    <row r="305" spans="1:1">
      <c r="A305" s="40"/>
    </row>
    <row r="306" spans="1:1">
      <c r="A306" s="40"/>
    </row>
    <row r="307" spans="1:1">
      <c r="A307" s="40"/>
    </row>
    <row r="308" spans="1:1">
      <c r="A308" s="40"/>
    </row>
    <row r="309" spans="1:1">
      <c r="A309" s="40"/>
    </row>
    <row r="310" spans="1:1">
      <c r="A310" s="40"/>
    </row>
    <row r="311" spans="1:1">
      <c r="A311" s="40"/>
    </row>
    <row r="312" spans="1:1">
      <c r="A312" s="40"/>
    </row>
    <row r="313" spans="1:1">
      <c r="A313" s="40"/>
    </row>
    <row r="314" spans="1:1">
      <c r="A314" s="40"/>
    </row>
    <row r="315" spans="1:1">
      <c r="A315" s="40"/>
    </row>
    <row r="316" spans="1:1">
      <c r="A316" s="40"/>
    </row>
  </sheetData>
  <mergeCells count="13"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  <mergeCell ref="A74:I74"/>
    <mergeCell ref="A90:C90"/>
  </mergeCells>
  <phoneticPr fontId="0" type="noConversion"/>
  <pageMargins left="0.19685039370078741" right="0" top="0" bottom="0" header="0.19685039370078741" footer="0.11811023622047245"/>
  <pageSetup paperSize="9" scale="57" orientation="portrait" verticalDpi="300" r:id="rId1"/>
  <headerFooter alignWithMargins="0"/>
  <rowBreaks count="1" manualBreakCount="1">
    <brk id="40" max="8" man="1"/>
  </rowBreaks>
  <ignoredErrors>
    <ignoredError sqref="G52 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topLeftCell="A25" zoomScaleNormal="100" zoomScaleSheetLayoutView="100" workbookViewId="0">
      <selection activeCell="E16" sqref="E16"/>
    </sheetView>
  </sheetViews>
  <sheetFormatPr defaultRowHeight="18.75"/>
  <cols>
    <col min="1" max="1" width="58.28515625" style="35" customWidth="1"/>
    <col min="2" max="2" width="6.140625" style="38" customWidth="1"/>
    <col min="3" max="4" width="14.7109375" style="38" customWidth="1"/>
    <col min="5" max="5" width="14.42578125" style="38" customWidth="1"/>
    <col min="6" max="6" width="14" style="38" customWidth="1"/>
    <col min="7" max="7" width="14.42578125" style="38" customWidth="1"/>
    <col min="8" max="8" width="13.85546875" style="271" customWidth="1"/>
    <col min="9" max="9" width="10" style="35" customWidth="1"/>
    <col min="10" max="10" width="9.5703125" style="35" customWidth="1"/>
    <col min="11" max="16384" width="9.140625" style="35"/>
  </cols>
  <sheetData>
    <row r="1" spans="1:8" ht="45" customHeight="1">
      <c r="A1" s="499" t="s">
        <v>116</v>
      </c>
      <c r="B1" s="499"/>
      <c r="C1" s="499"/>
      <c r="D1" s="499"/>
      <c r="E1" s="499"/>
      <c r="F1" s="499"/>
      <c r="G1" s="499"/>
      <c r="H1" s="499"/>
    </row>
    <row r="2" spans="1:8" ht="62.25" customHeight="1">
      <c r="A2" s="465" t="s">
        <v>202</v>
      </c>
      <c r="B2" s="500" t="s">
        <v>12</v>
      </c>
      <c r="C2" s="466" t="s">
        <v>474</v>
      </c>
      <c r="D2" s="466"/>
      <c r="E2" s="501" t="s">
        <v>477</v>
      </c>
      <c r="F2" s="502"/>
      <c r="G2" s="502"/>
      <c r="H2" s="503"/>
    </row>
    <row r="3" spans="1:8" ht="69.75" customHeight="1">
      <c r="A3" s="465"/>
      <c r="B3" s="500"/>
      <c r="C3" s="259" t="s">
        <v>475</v>
      </c>
      <c r="D3" s="6" t="s">
        <v>476</v>
      </c>
      <c r="E3" s="47" t="s">
        <v>186</v>
      </c>
      <c r="F3" s="47" t="s">
        <v>176</v>
      </c>
      <c r="G3" s="47" t="s">
        <v>197</v>
      </c>
      <c r="H3" s="262" t="s">
        <v>198</v>
      </c>
    </row>
    <row r="4" spans="1:8" ht="11.25" customHeight="1">
      <c r="A4" s="108">
        <v>1</v>
      </c>
      <c r="B4" s="107">
        <v>2</v>
      </c>
      <c r="C4" s="108">
        <v>3</v>
      </c>
      <c r="D4" s="108">
        <v>4</v>
      </c>
      <c r="E4" s="108">
        <v>5</v>
      </c>
      <c r="F4" s="107">
        <v>6</v>
      </c>
      <c r="G4" s="108">
        <v>7</v>
      </c>
      <c r="H4" s="272">
        <v>8</v>
      </c>
    </row>
    <row r="5" spans="1:8" ht="28.5" customHeight="1">
      <c r="A5" s="498" t="s">
        <v>112</v>
      </c>
      <c r="B5" s="498"/>
      <c r="C5" s="498"/>
      <c r="D5" s="498"/>
      <c r="E5" s="498"/>
      <c r="F5" s="498"/>
      <c r="G5" s="498"/>
      <c r="H5" s="498"/>
    </row>
    <row r="6" spans="1:8" ht="56.25" customHeight="1">
      <c r="A6" s="36" t="s">
        <v>51</v>
      </c>
      <c r="B6" s="90">
        <v>2000</v>
      </c>
      <c r="C6" s="82">
        <v>-1704</v>
      </c>
      <c r="D6" s="82">
        <v>-403</v>
      </c>
      <c r="E6" s="449">
        <v>-1042</v>
      </c>
      <c r="F6" s="82">
        <v>222</v>
      </c>
      <c r="G6" s="84">
        <f>F6-E6</f>
        <v>1264</v>
      </c>
      <c r="H6" s="267">
        <f>F6/E6*100</f>
        <v>-21.305182341650671</v>
      </c>
    </row>
    <row r="7" spans="1:8" ht="28.5" customHeight="1">
      <c r="A7" s="36" t="s">
        <v>270</v>
      </c>
      <c r="B7" s="90">
        <v>2010</v>
      </c>
      <c r="C7" s="82">
        <v>-126</v>
      </c>
      <c r="D7" s="352">
        <f>-80+-42+11+30</f>
        <v>-81</v>
      </c>
      <c r="E7" s="82">
        <v>-6</v>
      </c>
      <c r="F7" s="82">
        <v>30</v>
      </c>
      <c r="G7" s="84"/>
      <c r="H7" s="267">
        <f t="shared" ref="H7:H30" si="0">F7/E7*100</f>
        <v>-500</v>
      </c>
    </row>
    <row r="8" spans="1:8" ht="24" customHeight="1">
      <c r="A8" s="7" t="s">
        <v>136</v>
      </c>
      <c r="B8" s="90">
        <v>2020</v>
      </c>
      <c r="C8" s="82"/>
      <c r="D8" s="82"/>
      <c r="E8" s="82"/>
      <c r="F8" s="82"/>
      <c r="G8" s="84">
        <f>F8-E8</f>
        <v>0</v>
      </c>
      <c r="H8" s="267" t="e">
        <f t="shared" si="0"/>
        <v>#DIV/0!</v>
      </c>
    </row>
    <row r="9" spans="1:8" s="37" customFormat="1" ht="22.5" customHeight="1">
      <c r="A9" s="36" t="s">
        <v>62</v>
      </c>
      <c r="B9" s="90">
        <v>2030</v>
      </c>
      <c r="C9" s="82" t="s">
        <v>254</v>
      </c>
      <c r="D9" s="82"/>
      <c r="E9" s="82" t="s">
        <v>254</v>
      </c>
      <c r="F9" s="82" t="s">
        <v>254</v>
      </c>
      <c r="G9" s="84"/>
      <c r="H9" s="267" t="e">
        <f t="shared" si="0"/>
        <v>#VALUE!</v>
      </c>
    </row>
    <row r="10" spans="1:8" ht="18" customHeight="1">
      <c r="A10" s="169" t="s">
        <v>97</v>
      </c>
      <c r="B10" s="208">
        <v>2031</v>
      </c>
      <c r="C10" s="170" t="s">
        <v>254</v>
      </c>
      <c r="D10" s="170" t="s">
        <v>254</v>
      </c>
      <c r="E10" s="170" t="s">
        <v>254</v>
      </c>
      <c r="F10" s="170" t="s">
        <v>254</v>
      </c>
      <c r="G10" s="171"/>
      <c r="H10" s="267" t="e">
        <f t="shared" si="0"/>
        <v>#VALUE!</v>
      </c>
    </row>
    <row r="11" spans="1:8" ht="23.25" customHeight="1">
      <c r="A11" s="36" t="s">
        <v>21</v>
      </c>
      <c r="B11" s="90">
        <v>2040</v>
      </c>
      <c r="C11" s="82" t="s">
        <v>254</v>
      </c>
      <c r="D11" s="82" t="s">
        <v>254</v>
      </c>
      <c r="E11" s="82" t="s">
        <v>254</v>
      </c>
      <c r="F11" s="82" t="s">
        <v>254</v>
      </c>
      <c r="G11" s="84"/>
      <c r="H11" s="267" t="e">
        <f t="shared" si="0"/>
        <v>#VALUE!</v>
      </c>
    </row>
    <row r="12" spans="1:8" ht="23.25" customHeight="1">
      <c r="A12" s="36" t="s">
        <v>391</v>
      </c>
      <c r="B12" s="90">
        <v>2050</v>
      </c>
      <c r="C12" s="82" t="s">
        <v>254</v>
      </c>
      <c r="D12" s="82" t="s">
        <v>254</v>
      </c>
      <c r="E12" s="82" t="s">
        <v>254</v>
      </c>
      <c r="F12" s="82" t="s">
        <v>254</v>
      </c>
      <c r="G12" s="84"/>
      <c r="H12" s="267" t="e">
        <f t="shared" si="0"/>
        <v>#VALUE!</v>
      </c>
    </row>
    <row r="13" spans="1:8" ht="22.5" customHeight="1">
      <c r="A13" s="36" t="s">
        <v>392</v>
      </c>
      <c r="B13" s="90">
        <v>2060</v>
      </c>
      <c r="C13" s="82" t="s">
        <v>254</v>
      </c>
      <c r="D13" s="82" t="s">
        <v>254</v>
      </c>
      <c r="E13" s="82" t="s">
        <v>254</v>
      </c>
      <c r="F13" s="82" t="s">
        <v>254</v>
      </c>
      <c r="G13" s="84"/>
      <c r="H13" s="267" t="e">
        <f t="shared" si="0"/>
        <v>#VALUE!</v>
      </c>
    </row>
    <row r="14" spans="1:8" ht="43.5" customHeight="1">
      <c r="A14" s="195" t="s">
        <v>52</v>
      </c>
      <c r="B14" s="196">
        <v>2070</v>
      </c>
      <c r="C14" s="84">
        <v>-299</v>
      </c>
      <c r="D14" s="84">
        <f>SUM(D6,D7,D8,D9,D11,D12,D13)+'1. Фін результат'!D70</f>
        <v>53</v>
      </c>
      <c r="E14" s="396">
        <f>SUM(E6,E7,E8,E9,E11,E12,E13)+'1. Фін результат'!E70</f>
        <v>-1007</v>
      </c>
      <c r="F14" s="84">
        <f>SUM(F6,F7,F8,F9,F11,F12,F13)+'1. Фін результат'!F70</f>
        <v>53</v>
      </c>
      <c r="G14" s="84">
        <f>F14-E14</f>
        <v>1060</v>
      </c>
      <c r="H14" s="267">
        <f t="shared" si="0"/>
        <v>-5.2631578947368416</v>
      </c>
    </row>
    <row r="15" spans="1:8" ht="45.75" customHeight="1">
      <c r="A15" s="498" t="s">
        <v>113</v>
      </c>
      <c r="B15" s="498"/>
      <c r="C15" s="498"/>
      <c r="D15" s="498"/>
      <c r="E15" s="498"/>
      <c r="F15" s="498"/>
      <c r="G15" s="498"/>
      <c r="H15" s="498"/>
    </row>
    <row r="16" spans="1:8" ht="30.75" customHeight="1">
      <c r="A16" s="36" t="s">
        <v>270</v>
      </c>
      <c r="B16" s="90">
        <v>2100</v>
      </c>
      <c r="C16" s="82">
        <v>235</v>
      </c>
      <c r="D16" s="82">
        <f>63+17+29+5</f>
        <v>114</v>
      </c>
      <c r="E16" s="449">
        <v>6</v>
      </c>
      <c r="F16" s="82">
        <v>5</v>
      </c>
      <c r="G16" s="84">
        <f>F16-E16</f>
        <v>-1</v>
      </c>
      <c r="H16" s="267">
        <f t="shared" si="0"/>
        <v>83.333333333333343</v>
      </c>
    </row>
    <row r="17" spans="1:9" s="37" customFormat="1" ht="27" customHeight="1">
      <c r="A17" s="36" t="s">
        <v>115</v>
      </c>
      <c r="B17" s="108">
        <v>2110</v>
      </c>
      <c r="C17" s="82">
        <v>820</v>
      </c>
      <c r="D17" s="82">
        <f>99+154+56-23</f>
        <v>286</v>
      </c>
      <c r="E17" s="82">
        <v>9</v>
      </c>
      <c r="F17" s="82">
        <v>-23</v>
      </c>
      <c r="G17" s="84">
        <f>F17-E17</f>
        <v>-32</v>
      </c>
      <c r="H17" s="267">
        <f t="shared" si="0"/>
        <v>-255.55555555555554</v>
      </c>
    </row>
    <row r="18" spans="1:9" ht="57" customHeight="1">
      <c r="A18" s="36" t="s">
        <v>245</v>
      </c>
      <c r="B18" s="108">
        <v>2120</v>
      </c>
      <c r="C18" s="82">
        <v>6109</v>
      </c>
      <c r="D18" s="82">
        <f>1718+1670+1593+1681</f>
        <v>6662</v>
      </c>
      <c r="E18" s="82">
        <v>1400</v>
      </c>
      <c r="F18" s="82">
        <v>1681</v>
      </c>
      <c r="G18" s="84">
        <f>F18-E18</f>
        <v>281</v>
      </c>
      <c r="H18" s="267">
        <f t="shared" si="0"/>
        <v>120.07142857142856</v>
      </c>
    </row>
    <row r="19" spans="1:9" ht="60" customHeight="1">
      <c r="A19" s="36" t="s">
        <v>246</v>
      </c>
      <c r="B19" s="108">
        <v>2130</v>
      </c>
      <c r="C19" s="82" t="s">
        <v>485</v>
      </c>
      <c r="D19" s="82" t="s">
        <v>254</v>
      </c>
      <c r="E19" s="82" t="s">
        <v>254</v>
      </c>
      <c r="F19" s="82" t="s">
        <v>254</v>
      </c>
      <c r="G19" s="84"/>
      <c r="H19" s="267" t="e">
        <f t="shared" si="0"/>
        <v>#VALUE!</v>
      </c>
    </row>
    <row r="20" spans="1:9" s="39" customFormat="1" ht="60" customHeight="1">
      <c r="A20" s="48" t="s">
        <v>180</v>
      </c>
      <c r="B20" s="109">
        <v>2140</v>
      </c>
      <c r="C20" s="84">
        <f>SUM(C21:C25,C28,C29)</f>
        <v>2962</v>
      </c>
      <c r="D20" s="84">
        <f>SUM(D21:D25,D28,D29)</f>
        <v>4915</v>
      </c>
      <c r="E20" s="84">
        <f>SUM(E21:E25)+SUM(E27:E29)</f>
        <v>1174</v>
      </c>
      <c r="F20" s="84">
        <f>SUM(F21:F25)+SUM(F27:F29)</f>
        <v>1325</v>
      </c>
      <c r="G20" s="84">
        <f t="shared" ref="G20:G31" si="1">F20-E20</f>
        <v>151</v>
      </c>
      <c r="H20" s="267">
        <f t="shared" si="0"/>
        <v>112.86201022146507</v>
      </c>
      <c r="I20" s="35"/>
    </row>
    <row r="21" spans="1:9" ht="27" customHeight="1">
      <c r="A21" s="36" t="s">
        <v>73</v>
      </c>
      <c r="B21" s="108">
        <v>2141</v>
      </c>
      <c r="C21" s="82"/>
      <c r="D21" s="82"/>
      <c r="E21" s="82"/>
      <c r="F21" s="82"/>
      <c r="G21" s="84">
        <f t="shared" si="1"/>
        <v>0</v>
      </c>
      <c r="H21" s="267" t="e">
        <f t="shared" si="0"/>
        <v>#DIV/0!</v>
      </c>
    </row>
    <row r="22" spans="1:9" ht="24.75" customHeight="1">
      <c r="A22" s="36" t="s">
        <v>86</v>
      </c>
      <c r="B22" s="108">
        <v>2142</v>
      </c>
      <c r="C22" s="82"/>
      <c r="D22" s="82"/>
      <c r="E22" s="82"/>
      <c r="F22" s="82"/>
      <c r="G22" s="84">
        <f t="shared" si="1"/>
        <v>0</v>
      </c>
      <c r="H22" s="267" t="e">
        <f t="shared" si="0"/>
        <v>#DIV/0!</v>
      </c>
    </row>
    <row r="23" spans="1:9" ht="24.75" customHeight="1">
      <c r="A23" s="36" t="s">
        <v>82</v>
      </c>
      <c r="B23" s="108">
        <v>2143</v>
      </c>
      <c r="C23" s="82"/>
      <c r="D23" s="82"/>
      <c r="E23" s="82"/>
      <c r="F23" s="82"/>
      <c r="G23" s="84">
        <f t="shared" si="1"/>
        <v>0</v>
      </c>
      <c r="H23" s="267" t="e">
        <f t="shared" si="0"/>
        <v>#DIV/0!</v>
      </c>
    </row>
    <row r="24" spans="1:9" ht="24.75" customHeight="1">
      <c r="A24" s="36" t="s">
        <v>71</v>
      </c>
      <c r="B24" s="108">
        <v>2144</v>
      </c>
      <c r="C24" s="82">
        <v>2826</v>
      </c>
      <c r="D24" s="82">
        <f>1159+1046+1078+1211</f>
        <v>4494</v>
      </c>
      <c r="E24" s="82">
        <v>1052</v>
      </c>
      <c r="F24" s="82">
        <v>1211</v>
      </c>
      <c r="G24" s="84">
        <f t="shared" si="1"/>
        <v>159</v>
      </c>
      <c r="H24" s="267">
        <f t="shared" si="0"/>
        <v>115.11406844106465</v>
      </c>
    </row>
    <row r="25" spans="1:9" s="37" customFormat="1" ht="28.5" customHeight="1">
      <c r="A25" s="36" t="s">
        <v>127</v>
      </c>
      <c r="B25" s="108">
        <v>2145</v>
      </c>
      <c r="C25" s="84">
        <f>SUM(C26:C27)</f>
        <v>0</v>
      </c>
      <c r="D25" s="84">
        <f>SUM(D26:D27)</f>
        <v>0</v>
      </c>
      <c r="E25" s="84">
        <f>SUM(E26:E27)</f>
        <v>0</v>
      </c>
      <c r="F25" s="84">
        <f>SUM(F26:F27)</f>
        <v>0</v>
      </c>
      <c r="G25" s="84">
        <f t="shared" si="1"/>
        <v>0</v>
      </c>
      <c r="H25" s="267" t="e">
        <f t="shared" si="0"/>
        <v>#DIV/0!</v>
      </c>
    </row>
    <row r="26" spans="1:9" ht="47.25" customHeight="1">
      <c r="A26" s="169" t="s">
        <v>98</v>
      </c>
      <c r="B26" s="209" t="s">
        <v>158</v>
      </c>
      <c r="C26" s="170"/>
      <c r="D26" s="170"/>
      <c r="E26" s="170"/>
      <c r="F26" s="170"/>
      <c r="G26" s="171">
        <f t="shared" si="1"/>
        <v>0</v>
      </c>
      <c r="H26" s="267" t="e">
        <f t="shared" si="0"/>
        <v>#DIV/0!</v>
      </c>
    </row>
    <row r="27" spans="1:9" ht="21.75" customHeight="1">
      <c r="A27" s="169" t="s">
        <v>22</v>
      </c>
      <c r="B27" s="209" t="s">
        <v>159</v>
      </c>
      <c r="C27" s="170"/>
      <c r="D27" s="170"/>
      <c r="E27" s="170"/>
      <c r="F27" s="170"/>
      <c r="G27" s="171">
        <f t="shared" si="1"/>
        <v>0</v>
      </c>
      <c r="H27" s="267" t="e">
        <f t="shared" si="0"/>
        <v>#DIV/0!</v>
      </c>
    </row>
    <row r="28" spans="1:9" s="37" customFormat="1" ht="25.5" customHeight="1">
      <c r="A28" s="36" t="s">
        <v>393</v>
      </c>
      <c r="B28" s="108">
        <v>2146</v>
      </c>
      <c r="C28" s="82">
        <v>136</v>
      </c>
      <c r="D28" s="82">
        <f>16+16+16+16</f>
        <v>64</v>
      </c>
      <c r="E28" s="82">
        <v>34</v>
      </c>
      <c r="F28" s="82">
        <v>16</v>
      </c>
      <c r="G28" s="84">
        <f t="shared" si="1"/>
        <v>-18</v>
      </c>
      <c r="H28" s="267">
        <f t="shared" si="0"/>
        <v>47.058823529411761</v>
      </c>
    </row>
    <row r="29" spans="1:9" ht="27" customHeight="1">
      <c r="A29" s="36" t="s">
        <v>706</v>
      </c>
      <c r="B29" s="108">
        <v>2147</v>
      </c>
      <c r="C29" s="82"/>
      <c r="D29" s="82">
        <f>168+91+98</f>
        <v>357</v>
      </c>
      <c r="E29" s="82">
        <v>88</v>
      </c>
      <c r="F29" s="82">
        <v>98</v>
      </c>
      <c r="G29" s="84">
        <f t="shared" si="1"/>
        <v>10</v>
      </c>
      <c r="H29" s="267">
        <f t="shared" si="0"/>
        <v>111.36363636363636</v>
      </c>
    </row>
    <row r="30" spans="1:9" s="37" customFormat="1" ht="42" customHeight="1">
      <c r="A30" s="36" t="s">
        <v>876</v>
      </c>
      <c r="B30" s="108">
        <v>2150</v>
      </c>
      <c r="C30" s="352">
        <v>4814</v>
      </c>
      <c r="D30" s="82">
        <f>1541+1332-168+1289+1548</f>
        <v>5542</v>
      </c>
      <c r="E30" s="82">
        <f>1279</f>
        <v>1279</v>
      </c>
      <c r="F30" s="82">
        <v>1548</v>
      </c>
      <c r="G30" s="84">
        <f t="shared" si="1"/>
        <v>269</v>
      </c>
      <c r="H30" s="267">
        <f t="shared" si="0"/>
        <v>121.03205629397966</v>
      </c>
    </row>
    <row r="31" spans="1:9" s="37" customFormat="1" ht="36.75" customHeight="1">
      <c r="A31" s="186" t="s">
        <v>189</v>
      </c>
      <c r="B31" s="197">
        <v>2200</v>
      </c>
      <c r="C31" s="84">
        <f>SUM(C16,C17:C19,C20,C30)</f>
        <v>14940</v>
      </c>
      <c r="D31" s="84">
        <f>SUM(D16,D17:D19,D20,D30)</f>
        <v>17519</v>
      </c>
      <c r="E31" s="84">
        <f>SUM(E16,E17:E19,E20,E30)</f>
        <v>3868</v>
      </c>
      <c r="F31" s="84">
        <f>SUM(F16,F17:F19,F20,F30)</f>
        <v>4536</v>
      </c>
      <c r="G31" s="84">
        <f t="shared" si="1"/>
        <v>668</v>
      </c>
      <c r="H31" s="267">
        <f>F31/E31*100</f>
        <v>117.2699069286453</v>
      </c>
      <c r="I31" s="35"/>
    </row>
    <row r="32" spans="1:9" s="37" customFormat="1" ht="10.5" customHeight="1">
      <c r="A32" s="46"/>
      <c r="B32" s="38"/>
      <c r="C32" s="38"/>
      <c r="D32" s="38"/>
      <c r="E32" s="38"/>
      <c r="F32" s="38"/>
      <c r="G32" s="38"/>
      <c r="H32" s="271"/>
    </row>
    <row r="33" spans="1:10" s="2" customFormat="1" ht="33" customHeight="1">
      <c r="A33" s="344" t="s">
        <v>710</v>
      </c>
      <c r="B33" s="468" t="s">
        <v>290</v>
      </c>
      <c r="C33" s="468"/>
      <c r="D33" s="345"/>
      <c r="E33" s="346"/>
      <c r="F33" s="472" t="s">
        <v>489</v>
      </c>
      <c r="G33" s="472"/>
      <c r="H33" s="472"/>
    </row>
    <row r="34" spans="1:10" s="1" customFormat="1">
      <c r="A34" s="110" t="s">
        <v>236</v>
      </c>
      <c r="B34" s="111"/>
      <c r="C34" s="110" t="s">
        <v>293</v>
      </c>
      <c r="D34" s="110"/>
      <c r="E34" s="111"/>
      <c r="F34" s="497" t="s">
        <v>237</v>
      </c>
      <c r="G34" s="497"/>
      <c r="H34" s="497"/>
    </row>
    <row r="35" spans="1:10" s="38" customFormat="1">
      <c r="A35" s="317" t="s">
        <v>554</v>
      </c>
      <c r="H35" s="271"/>
      <c r="I35" s="35"/>
      <c r="J35" s="35"/>
    </row>
    <row r="36" spans="1:10" s="38" customFormat="1">
      <c r="A36" s="43"/>
      <c r="H36" s="271"/>
      <c r="I36" s="35"/>
      <c r="J36" s="35"/>
    </row>
    <row r="37" spans="1:10" s="38" customFormat="1">
      <c r="A37" s="43"/>
      <c r="H37" s="271"/>
      <c r="I37" s="35"/>
      <c r="J37" s="35"/>
    </row>
    <row r="38" spans="1:10" s="38" customFormat="1">
      <c r="A38" s="43"/>
      <c r="H38" s="271"/>
      <c r="I38" s="35"/>
      <c r="J38" s="35"/>
    </row>
    <row r="39" spans="1:10" s="38" customFormat="1">
      <c r="A39" s="43"/>
      <c r="H39" s="271"/>
      <c r="I39" s="35"/>
      <c r="J39" s="35"/>
    </row>
    <row r="40" spans="1:10" s="38" customFormat="1">
      <c r="A40" s="43"/>
      <c r="H40" s="271"/>
      <c r="I40" s="35"/>
      <c r="J40" s="35"/>
    </row>
    <row r="41" spans="1:10" s="38" customFormat="1">
      <c r="A41" s="43"/>
      <c r="H41" s="271"/>
      <c r="I41" s="35"/>
      <c r="J41" s="35"/>
    </row>
    <row r="42" spans="1:10" s="38" customFormat="1">
      <c r="A42" s="43"/>
      <c r="H42" s="271"/>
      <c r="I42" s="35"/>
      <c r="J42" s="35"/>
    </row>
    <row r="43" spans="1:10" s="38" customFormat="1">
      <c r="A43" s="43"/>
      <c r="H43" s="271"/>
      <c r="I43" s="35"/>
      <c r="J43" s="35"/>
    </row>
    <row r="44" spans="1:10" s="38" customFormat="1">
      <c r="A44" s="43"/>
      <c r="H44" s="271"/>
      <c r="I44" s="35"/>
      <c r="J44" s="35"/>
    </row>
    <row r="45" spans="1:10" s="38" customFormat="1">
      <c r="A45" s="43"/>
      <c r="H45" s="271"/>
      <c r="I45" s="35"/>
      <c r="J45" s="35"/>
    </row>
    <row r="46" spans="1:10" s="38" customFormat="1">
      <c r="A46" s="43"/>
      <c r="H46" s="271"/>
      <c r="I46" s="35"/>
      <c r="J46" s="35"/>
    </row>
    <row r="47" spans="1:10" s="38" customFormat="1">
      <c r="A47" s="43"/>
      <c r="H47" s="271"/>
      <c r="I47" s="35"/>
      <c r="J47" s="35"/>
    </row>
    <row r="48" spans="1:10" s="38" customFormat="1">
      <c r="A48" s="43"/>
      <c r="H48" s="271"/>
      <c r="I48" s="35"/>
      <c r="J48" s="35"/>
    </row>
    <row r="49" spans="1:10" s="38" customFormat="1">
      <c r="A49" s="43"/>
      <c r="H49" s="271"/>
      <c r="I49" s="35"/>
      <c r="J49" s="35"/>
    </row>
    <row r="50" spans="1:10" s="38" customFormat="1">
      <c r="A50" s="43"/>
      <c r="H50" s="271"/>
      <c r="I50" s="35"/>
      <c r="J50" s="35"/>
    </row>
    <row r="51" spans="1:10" s="38" customFormat="1">
      <c r="A51" s="43"/>
      <c r="H51" s="271"/>
      <c r="I51" s="35"/>
      <c r="J51" s="35"/>
    </row>
    <row r="52" spans="1:10" s="38" customFormat="1">
      <c r="A52" s="43"/>
      <c r="H52" s="271"/>
      <c r="I52" s="35"/>
      <c r="J52" s="35"/>
    </row>
    <row r="53" spans="1:10" s="38" customFormat="1">
      <c r="A53" s="43"/>
      <c r="H53" s="271"/>
      <c r="I53" s="35"/>
      <c r="J53" s="35"/>
    </row>
    <row r="54" spans="1:10" s="38" customFormat="1">
      <c r="A54" s="43"/>
      <c r="H54" s="271"/>
      <c r="I54" s="35"/>
      <c r="J54" s="35"/>
    </row>
    <row r="55" spans="1:10" s="38" customFormat="1">
      <c r="A55" s="43"/>
      <c r="H55" s="271"/>
      <c r="I55" s="35"/>
      <c r="J55" s="35"/>
    </row>
    <row r="56" spans="1:10" s="38" customFormat="1">
      <c r="A56" s="43"/>
      <c r="H56" s="271"/>
      <c r="I56" s="35"/>
      <c r="J56" s="35"/>
    </row>
    <row r="57" spans="1:10" s="38" customFormat="1">
      <c r="A57" s="43"/>
      <c r="H57" s="271"/>
      <c r="I57" s="35"/>
      <c r="J57" s="35"/>
    </row>
    <row r="58" spans="1:10" s="38" customFormat="1">
      <c r="A58" s="43"/>
      <c r="H58" s="271"/>
      <c r="I58" s="35"/>
      <c r="J58" s="35"/>
    </row>
    <row r="59" spans="1:10" s="38" customFormat="1">
      <c r="A59" s="43"/>
      <c r="H59" s="271"/>
      <c r="I59" s="35"/>
      <c r="J59" s="35"/>
    </row>
    <row r="60" spans="1:10" s="38" customFormat="1">
      <c r="A60" s="43"/>
      <c r="H60" s="271"/>
      <c r="I60" s="35"/>
      <c r="J60" s="35"/>
    </row>
    <row r="61" spans="1:10" s="38" customFormat="1">
      <c r="A61" s="43"/>
      <c r="H61" s="271"/>
      <c r="I61" s="35"/>
      <c r="J61" s="35"/>
    </row>
    <row r="62" spans="1:10" s="38" customFormat="1">
      <c r="A62" s="43"/>
      <c r="H62" s="271"/>
      <c r="I62" s="35"/>
      <c r="J62" s="35"/>
    </row>
    <row r="63" spans="1:10" s="38" customFormat="1">
      <c r="A63" s="43"/>
      <c r="H63" s="271"/>
      <c r="I63" s="35"/>
      <c r="J63" s="35"/>
    </row>
    <row r="64" spans="1:10" s="38" customFormat="1">
      <c r="A64" s="43"/>
      <c r="H64" s="271"/>
      <c r="I64" s="35"/>
      <c r="J64" s="35"/>
    </row>
    <row r="65" spans="1:10" s="38" customFormat="1">
      <c r="A65" s="43"/>
      <c r="H65" s="271"/>
      <c r="I65" s="35"/>
      <c r="J65" s="35"/>
    </row>
    <row r="66" spans="1:10" s="38" customFormat="1">
      <c r="A66" s="43"/>
      <c r="H66" s="271"/>
      <c r="I66" s="35"/>
      <c r="J66" s="35"/>
    </row>
    <row r="67" spans="1:10" s="38" customFormat="1">
      <c r="A67" s="43"/>
      <c r="H67" s="271"/>
      <c r="I67" s="35"/>
      <c r="J67" s="35"/>
    </row>
    <row r="68" spans="1:10" s="38" customFormat="1">
      <c r="A68" s="43"/>
      <c r="H68" s="271"/>
      <c r="I68" s="35"/>
      <c r="J68" s="35"/>
    </row>
    <row r="69" spans="1:10" s="38" customFormat="1">
      <c r="A69" s="43"/>
      <c r="H69" s="271"/>
      <c r="I69" s="35"/>
      <c r="J69" s="35"/>
    </row>
    <row r="70" spans="1:10" s="38" customFormat="1">
      <c r="A70" s="43"/>
      <c r="H70" s="271"/>
      <c r="I70" s="35"/>
      <c r="J70" s="35"/>
    </row>
    <row r="71" spans="1:10" s="38" customFormat="1">
      <c r="A71" s="43"/>
      <c r="H71" s="271"/>
      <c r="I71" s="35"/>
      <c r="J71" s="35"/>
    </row>
    <row r="72" spans="1:10" s="38" customFormat="1">
      <c r="A72" s="43"/>
      <c r="H72" s="271"/>
      <c r="I72" s="35"/>
      <c r="J72" s="35"/>
    </row>
    <row r="73" spans="1:10" s="38" customFormat="1">
      <c r="A73" s="43"/>
      <c r="H73" s="271"/>
      <c r="I73" s="35"/>
      <c r="J73" s="35"/>
    </row>
    <row r="74" spans="1:10" s="38" customFormat="1">
      <c r="A74" s="43"/>
      <c r="H74" s="271"/>
      <c r="I74" s="35"/>
      <c r="J74" s="35"/>
    </row>
    <row r="75" spans="1:10" s="38" customFormat="1">
      <c r="A75" s="43"/>
      <c r="H75" s="271"/>
      <c r="I75" s="35"/>
      <c r="J75" s="35"/>
    </row>
    <row r="76" spans="1:10" s="38" customFormat="1">
      <c r="A76" s="43"/>
      <c r="H76" s="271"/>
      <c r="I76" s="35"/>
      <c r="J76" s="35"/>
    </row>
    <row r="77" spans="1:10" s="38" customFormat="1">
      <c r="A77" s="43"/>
      <c r="H77" s="271"/>
      <c r="I77" s="35"/>
      <c r="J77" s="35"/>
    </row>
    <row r="78" spans="1:10" s="38" customFormat="1">
      <c r="A78" s="43"/>
      <c r="H78" s="271"/>
      <c r="I78" s="35"/>
      <c r="J78" s="35"/>
    </row>
    <row r="79" spans="1:10" s="38" customFormat="1">
      <c r="A79" s="43"/>
      <c r="H79" s="271"/>
      <c r="I79" s="35"/>
      <c r="J79" s="35"/>
    </row>
    <row r="80" spans="1:10" s="38" customFormat="1">
      <c r="A80" s="43"/>
      <c r="H80" s="271"/>
      <c r="I80" s="35"/>
      <c r="J80" s="35"/>
    </row>
    <row r="81" spans="1:10" s="38" customFormat="1">
      <c r="A81" s="43"/>
      <c r="H81" s="271"/>
      <c r="I81" s="35"/>
      <c r="J81" s="35"/>
    </row>
    <row r="82" spans="1:10" s="38" customFormat="1">
      <c r="A82" s="43"/>
      <c r="H82" s="271"/>
      <c r="I82" s="35"/>
      <c r="J82" s="35"/>
    </row>
    <row r="83" spans="1:10" s="38" customFormat="1">
      <c r="A83" s="43"/>
      <c r="H83" s="271"/>
      <c r="I83" s="35"/>
      <c r="J83" s="35"/>
    </row>
    <row r="84" spans="1:10" s="38" customFormat="1">
      <c r="A84" s="43"/>
      <c r="H84" s="271"/>
      <c r="I84" s="35"/>
      <c r="J84" s="35"/>
    </row>
    <row r="85" spans="1:10" s="38" customFormat="1">
      <c r="A85" s="43"/>
      <c r="H85" s="271"/>
      <c r="I85" s="35"/>
      <c r="J85" s="35"/>
    </row>
    <row r="86" spans="1:10" s="38" customFormat="1">
      <c r="A86" s="43"/>
      <c r="H86" s="271"/>
      <c r="I86" s="35"/>
      <c r="J86" s="35"/>
    </row>
    <row r="87" spans="1:10" s="38" customFormat="1">
      <c r="A87" s="43"/>
      <c r="H87" s="271"/>
      <c r="I87" s="35"/>
      <c r="J87" s="35"/>
    </row>
    <row r="88" spans="1:10" s="38" customFormat="1">
      <c r="A88" s="43"/>
      <c r="H88" s="271"/>
      <c r="I88" s="35"/>
      <c r="J88" s="35"/>
    </row>
    <row r="89" spans="1:10" s="38" customFormat="1">
      <c r="A89" s="43"/>
      <c r="H89" s="271"/>
      <c r="I89" s="35"/>
      <c r="J89" s="35"/>
    </row>
    <row r="90" spans="1:10" s="38" customFormat="1">
      <c r="A90" s="43"/>
      <c r="H90" s="271"/>
      <c r="I90" s="35"/>
      <c r="J90" s="35"/>
    </row>
    <row r="91" spans="1:10" s="38" customFormat="1">
      <c r="A91" s="43"/>
      <c r="H91" s="271"/>
      <c r="I91" s="35"/>
      <c r="J91" s="35"/>
    </row>
    <row r="92" spans="1:10" s="38" customFormat="1">
      <c r="A92" s="43"/>
      <c r="H92" s="271"/>
      <c r="I92" s="35"/>
      <c r="J92" s="35"/>
    </row>
    <row r="93" spans="1:10" s="38" customFormat="1">
      <c r="A93" s="43"/>
      <c r="H93" s="271"/>
      <c r="I93" s="35"/>
      <c r="J93" s="35"/>
    </row>
    <row r="94" spans="1:10" s="38" customFormat="1">
      <c r="A94" s="43"/>
      <c r="H94" s="271"/>
      <c r="I94" s="35"/>
      <c r="J94" s="35"/>
    </row>
    <row r="95" spans="1:10" s="38" customFormat="1">
      <c r="A95" s="43"/>
      <c r="H95" s="271"/>
      <c r="I95" s="35"/>
      <c r="J95" s="35"/>
    </row>
    <row r="96" spans="1:10" s="38" customFormat="1">
      <c r="A96" s="43"/>
      <c r="H96" s="271"/>
      <c r="I96" s="35"/>
      <c r="J96" s="35"/>
    </row>
    <row r="97" spans="1:10" s="38" customFormat="1">
      <c r="A97" s="43"/>
      <c r="H97" s="271"/>
      <c r="I97" s="35"/>
      <c r="J97" s="35"/>
    </row>
    <row r="98" spans="1:10" s="38" customFormat="1">
      <c r="A98" s="43"/>
      <c r="H98" s="271"/>
      <c r="I98" s="35"/>
      <c r="J98" s="35"/>
    </row>
    <row r="99" spans="1:10" s="38" customFormat="1">
      <c r="A99" s="43"/>
      <c r="H99" s="271"/>
      <c r="I99" s="35"/>
      <c r="J99" s="35"/>
    </row>
    <row r="100" spans="1:10" s="38" customFormat="1">
      <c r="A100" s="43"/>
      <c r="H100" s="271"/>
      <c r="I100" s="35"/>
      <c r="J100" s="35"/>
    </row>
    <row r="101" spans="1:10" s="38" customFormat="1">
      <c r="A101" s="43"/>
      <c r="H101" s="271"/>
      <c r="I101" s="35"/>
      <c r="J101" s="35"/>
    </row>
    <row r="102" spans="1:10" s="38" customFormat="1">
      <c r="A102" s="43"/>
      <c r="H102" s="271"/>
      <c r="I102" s="35"/>
      <c r="J102" s="35"/>
    </row>
    <row r="103" spans="1:10" s="38" customFormat="1">
      <c r="A103" s="43"/>
      <c r="H103" s="271"/>
      <c r="I103" s="35"/>
      <c r="J103" s="35"/>
    </row>
    <row r="104" spans="1:10" s="38" customFormat="1">
      <c r="A104" s="43"/>
      <c r="H104" s="271"/>
      <c r="I104" s="35"/>
      <c r="J104" s="35"/>
    </row>
    <row r="105" spans="1:10" s="38" customFormat="1">
      <c r="A105" s="43"/>
      <c r="H105" s="271"/>
      <c r="I105" s="35"/>
      <c r="J105" s="35"/>
    </row>
    <row r="106" spans="1:10" s="38" customFormat="1">
      <c r="A106" s="43"/>
      <c r="H106" s="271"/>
      <c r="I106" s="35"/>
      <c r="J106" s="35"/>
    </row>
    <row r="107" spans="1:10" s="38" customFormat="1">
      <c r="A107" s="43"/>
      <c r="H107" s="271"/>
      <c r="I107" s="35"/>
      <c r="J107" s="35"/>
    </row>
    <row r="108" spans="1:10" s="38" customFormat="1">
      <c r="A108" s="43"/>
      <c r="H108" s="271"/>
      <c r="I108" s="35"/>
      <c r="J108" s="35"/>
    </row>
    <row r="109" spans="1:10" s="38" customFormat="1">
      <c r="A109" s="43"/>
      <c r="H109" s="271"/>
      <c r="I109" s="35"/>
      <c r="J109" s="35"/>
    </row>
    <row r="110" spans="1:10" s="38" customFormat="1">
      <c r="A110" s="43"/>
      <c r="H110" s="271"/>
      <c r="I110" s="35"/>
      <c r="J110" s="35"/>
    </row>
    <row r="111" spans="1:10" s="38" customFormat="1">
      <c r="A111" s="43"/>
      <c r="H111" s="271"/>
      <c r="I111" s="35"/>
      <c r="J111" s="35"/>
    </row>
    <row r="112" spans="1:10" s="38" customFormat="1">
      <c r="A112" s="43"/>
      <c r="H112" s="271"/>
      <c r="I112" s="35"/>
      <c r="J112" s="35"/>
    </row>
    <row r="113" spans="1:10" s="38" customFormat="1">
      <c r="A113" s="43"/>
      <c r="H113" s="271"/>
      <c r="I113" s="35"/>
      <c r="J113" s="35"/>
    </row>
    <row r="114" spans="1:10" s="38" customFormat="1">
      <c r="A114" s="43"/>
      <c r="H114" s="271"/>
      <c r="I114" s="35"/>
      <c r="J114" s="35"/>
    </row>
    <row r="115" spans="1:10" s="38" customFormat="1">
      <c r="A115" s="43"/>
      <c r="H115" s="271"/>
      <c r="I115" s="35"/>
      <c r="J115" s="35"/>
    </row>
    <row r="116" spans="1:10" s="38" customFormat="1">
      <c r="A116" s="43"/>
      <c r="H116" s="271"/>
      <c r="I116" s="35"/>
      <c r="J116" s="35"/>
    </row>
    <row r="117" spans="1:10" s="38" customFormat="1">
      <c r="A117" s="43"/>
      <c r="H117" s="271"/>
      <c r="I117" s="35"/>
      <c r="J117" s="35"/>
    </row>
    <row r="118" spans="1:10" s="38" customFormat="1">
      <c r="A118" s="43"/>
      <c r="H118" s="271"/>
      <c r="I118" s="35"/>
      <c r="J118" s="35"/>
    </row>
    <row r="119" spans="1:10" s="38" customFormat="1">
      <c r="A119" s="43"/>
      <c r="H119" s="271"/>
      <c r="I119" s="35"/>
      <c r="J119" s="35"/>
    </row>
    <row r="120" spans="1:10" s="38" customFormat="1">
      <c r="A120" s="43"/>
      <c r="H120" s="271"/>
      <c r="I120" s="35"/>
      <c r="J120" s="35"/>
    </row>
    <row r="121" spans="1:10" s="38" customFormat="1">
      <c r="A121" s="43"/>
      <c r="H121" s="271"/>
      <c r="I121" s="35"/>
      <c r="J121" s="35"/>
    </row>
    <row r="122" spans="1:10" s="38" customFormat="1">
      <c r="A122" s="43"/>
      <c r="H122" s="271"/>
      <c r="I122" s="35"/>
      <c r="J122" s="35"/>
    </row>
    <row r="123" spans="1:10" s="38" customFormat="1">
      <c r="A123" s="43"/>
      <c r="H123" s="271"/>
      <c r="I123" s="35"/>
      <c r="J123" s="35"/>
    </row>
    <row r="124" spans="1:10" s="38" customFormat="1">
      <c r="A124" s="43"/>
      <c r="H124" s="271"/>
      <c r="I124" s="35"/>
      <c r="J124" s="35"/>
    </row>
    <row r="125" spans="1:10" s="38" customFormat="1">
      <c r="A125" s="43"/>
      <c r="H125" s="271"/>
      <c r="I125" s="35"/>
      <c r="J125" s="35"/>
    </row>
    <row r="126" spans="1:10" s="38" customFormat="1">
      <c r="A126" s="43"/>
      <c r="H126" s="271"/>
      <c r="I126" s="35"/>
      <c r="J126" s="35"/>
    </row>
    <row r="127" spans="1:10" s="38" customFormat="1">
      <c r="A127" s="43"/>
      <c r="H127" s="271"/>
      <c r="I127" s="35"/>
      <c r="J127" s="35"/>
    </row>
    <row r="128" spans="1:10" s="38" customFormat="1">
      <c r="A128" s="43"/>
      <c r="H128" s="271"/>
      <c r="I128" s="35"/>
      <c r="J128" s="35"/>
    </row>
    <row r="129" spans="1:10" s="38" customFormat="1">
      <c r="A129" s="43"/>
      <c r="H129" s="271"/>
      <c r="I129" s="35"/>
      <c r="J129" s="35"/>
    </row>
    <row r="130" spans="1:10" s="38" customFormat="1">
      <c r="A130" s="43"/>
      <c r="H130" s="271"/>
      <c r="I130" s="35"/>
      <c r="J130" s="35"/>
    </row>
    <row r="131" spans="1:10" s="38" customFormat="1">
      <c r="A131" s="43"/>
      <c r="H131" s="271"/>
      <c r="I131" s="35"/>
      <c r="J131" s="35"/>
    </row>
    <row r="132" spans="1:10" s="38" customFormat="1">
      <c r="A132" s="43"/>
      <c r="H132" s="271"/>
      <c r="I132" s="35"/>
      <c r="J132" s="35"/>
    </row>
    <row r="133" spans="1:10" s="38" customFormat="1">
      <c r="A133" s="43"/>
      <c r="H133" s="271"/>
      <c r="I133" s="35"/>
      <c r="J133" s="35"/>
    </row>
    <row r="134" spans="1:10" s="38" customFormat="1">
      <c r="A134" s="43"/>
      <c r="H134" s="271"/>
      <c r="I134" s="35"/>
      <c r="J134" s="35"/>
    </row>
    <row r="135" spans="1:10" s="38" customFormat="1">
      <c r="A135" s="43"/>
      <c r="H135" s="271"/>
      <c r="I135" s="35"/>
      <c r="J135" s="35"/>
    </row>
    <row r="136" spans="1:10" s="38" customFormat="1">
      <c r="A136" s="43"/>
      <c r="H136" s="271"/>
      <c r="I136" s="35"/>
      <c r="J136" s="35"/>
    </row>
    <row r="137" spans="1:10" s="38" customFormat="1">
      <c r="A137" s="43"/>
      <c r="H137" s="271"/>
      <c r="I137" s="35"/>
      <c r="J137" s="35"/>
    </row>
    <row r="138" spans="1:10" s="38" customFormat="1">
      <c r="A138" s="43"/>
      <c r="H138" s="271"/>
      <c r="I138" s="35"/>
      <c r="J138" s="35"/>
    </row>
    <row r="139" spans="1:10" s="38" customFormat="1">
      <c r="A139" s="43"/>
      <c r="H139" s="271"/>
      <c r="I139" s="35"/>
      <c r="J139" s="35"/>
    </row>
    <row r="140" spans="1:10" s="38" customFormat="1">
      <c r="A140" s="43"/>
      <c r="H140" s="271"/>
      <c r="I140" s="35"/>
      <c r="J140" s="35"/>
    </row>
    <row r="141" spans="1:10" s="38" customFormat="1">
      <c r="A141" s="43"/>
      <c r="H141" s="271"/>
      <c r="I141" s="35"/>
      <c r="J141" s="35"/>
    </row>
    <row r="142" spans="1:10" s="38" customFormat="1">
      <c r="A142" s="43"/>
      <c r="H142" s="271"/>
      <c r="I142" s="35"/>
      <c r="J142" s="35"/>
    </row>
    <row r="143" spans="1:10" s="38" customFormat="1">
      <c r="A143" s="43"/>
      <c r="H143" s="271"/>
      <c r="I143" s="35"/>
      <c r="J143" s="35"/>
    </row>
    <row r="144" spans="1:10" s="38" customFormat="1">
      <c r="A144" s="43"/>
      <c r="H144" s="271"/>
      <c r="I144" s="35"/>
      <c r="J144" s="35"/>
    </row>
    <row r="145" spans="1:10" s="38" customFormat="1">
      <c r="A145" s="43"/>
      <c r="H145" s="271"/>
      <c r="I145" s="35"/>
      <c r="J145" s="35"/>
    </row>
    <row r="146" spans="1:10" s="38" customFormat="1">
      <c r="A146" s="43"/>
      <c r="H146" s="271"/>
      <c r="I146" s="35"/>
      <c r="J146" s="35"/>
    </row>
    <row r="147" spans="1:10" s="38" customFormat="1">
      <c r="A147" s="43"/>
      <c r="H147" s="271"/>
      <c r="I147" s="35"/>
      <c r="J147" s="35"/>
    </row>
    <row r="148" spans="1:10" s="38" customFormat="1">
      <c r="A148" s="43"/>
      <c r="H148" s="271"/>
      <c r="I148" s="35"/>
      <c r="J148" s="35"/>
    </row>
    <row r="149" spans="1:10" s="38" customFormat="1">
      <c r="A149" s="43"/>
      <c r="H149" s="271"/>
      <c r="I149" s="35"/>
      <c r="J149" s="35"/>
    </row>
    <row r="150" spans="1:10" s="38" customFormat="1">
      <c r="A150" s="43"/>
      <c r="H150" s="271"/>
      <c r="I150" s="35"/>
      <c r="J150" s="35"/>
    </row>
    <row r="151" spans="1:10" s="38" customFormat="1">
      <c r="A151" s="43"/>
      <c r="H151" s="271"/>
      <c r="I151" s="35"/>
      <c r="J151" s="35"/>
    </row>
    <row r="152" spans="1:10" s="38" customFormat="1">
      <c r="A152" s="43"/>
      <c r="H152" s="271"/>
      <c r="I152" s="35"/>
      <c r="J152" s="35"/>
    </row>
    <row r="153" spans="1:10" s="38" customFormat="1">
      <c r="A153" s="43"/>
      <c r="H153" s="271"/>
      <c r="I153" s="35"/>
      <c r="J153" s="35"/>
    </row>
    <row r="154" spans="1:10" s="38" customFormat="1">
      <c r="A154" s="43"/>
      <c r="H154" s="271"/>
      <c r="I154" s="35"/>
      <c r="J154" s="35"/>
    </row>
    <row r="155" spans="1:10" s="38" customFormat="1">
      <c r="A155" s="43"/>
      <c r="H155" s="271"/>
      <c r="I155" s="35"/>
      <c r="J155" s="35"/>
    </row>
    <row r="156" spans="1:10" s="38" customFormat="1">
      <c r="A156" s="43"/>
      <c r="H156" s="271"/>
      <c r="I156" s="35"/>
      <c r="J156" s="35"/>
    </row>
    <row r="157" spans="1:10" s="38" customFormat="1">
      <c r="A157" s="43"/>
      <c r="H157" s="271"/>
      <c r="I157" s="35"/>
      <c r="J157" s="35"/>
    </row>
    <row r="158" spans="1:10" s="38" customFormat="1">
      <c r="A158" s="43"/>
      <c r="H158" s="271"/>
      <c r="I158" s="35"/>
      <c r="J158" s="35"/>
    </row>
    <row r="159" spans="1:10" s="38" customFormat="1">
      <c r="A159" s="43"/>
      <c r="H159" s="271"/>
      <c r="I159" s="35"/>
      <c r="J159" s="35"/>
    </row>
    <row r="160" spans="1:10" s="38" customFormat="1">
      <c r="A160" s="43"/>
      <c r="H160" s="271"/>
      <c r="I160" s="35"/>
      <c r="J160" s="35"/>
    </row>
    <row r="161" spans="1:10" s="38" customFormat="1">
      <c r="A161" s="43"/>
      <c r="H161" s="271"/>
      <c r="I161" s="35"/>
      <c r="J161" s="35"/>
    </row>
    <row r="162" spans="1:10" s="38" customFormat="1">
      <c r="A162" s="43"/>
      <c r="H162" s="271"/>
      <c r="I162" s="35"/>
      <c r="J162" s="35"/>
    </row>
    <row r="163" spans="1:10" s="38" customFormat="1">
      <c r="A163" s="43"/>
      <c r="H163" s="271"/>
      <c r="I163" s="35"/>
      <c r="J163" s="35"/>
    </row>
    <row r="164" spans="1:10" s="38" customFormat="1">
      <c r="A164" s="43"/>
      <c r="H164" s="271"/>
      <c r="I164" s="35"/>
      <c r="J164" s="35"/>
    </row>
    <row r="165" spans="1:10" s="38" customFormat="1">
      <c r="A165" s="43"/>
      <c r="H165" s="271"/>
      <c r="I165" s="35"/>
      <c r="J165" s="35"/>
    </row>
    <row r="166" spans="1:10" s="38" customFormat="1">
      <c r="A166" s="43"/>
      <c r="H166" s="271"/>
      <c r="I166" s="35"/>
      <c r="J166" s="35"/>
    </row>
    <row r="167" spans="1:10" s="38" customFormat="1">
      <c r="A167" s="43"/>
      <c r="H167" s="271"/>
      <c r="I167" s="35"/>
      <c r="J167" s="35"/>
    </row>
    <row r="168" spans="1:10" s="38" customFormat="1">
      <c r="A168" s="43"/>
      <c r="H168" s="271"/>
      <c r="I168" s="35"/>
      <c r="J168" s="35"/>
    </row>
    <row r="169" spans="1:10" s="38" customFormat="1">
      <c r="A169" s="43"/>
      <c r="H169" s="271"/>
      <c r="I169" s="35"/>
      <c r="J169" s="35"/>
    </row>
    <row r="170" spans="1:10" s="38" customFormat="1">
      <c r="A170" s="43"/>
      <c r="H170" s="271"/>
      <c r="I170" s="35"/>
      <c r="J170" s="35"/>
    </row>
    <row r="171" spans="1:10" s="38" customFormat="1">
      <c r="A171" s="43"/>
      <c r="H171" s="271"/>
      <c r="I171" s="35"/>
      <c r="J171" s="35"/>
    </row>
    <row r="172" spans="1:10" s="38" customFormat="1">
      <c r="A172" s="43"/>
      <c r="H172" s="271"/>
      <c r="I172" s="35"/>
      <c r="J172" s="35"/>
    </row>
    <row r="173" spans="1:10" s="38" customFormat="1">
      <c r="A173" s="43"/>
      <c r="H173" s="271"/>
      <c r="I173" s="35"/>
      <c r="J173" s="35"/>
    </row>
    <row r="174" spans="1:10" s="38" customFormat="1">
      <c r="A174" s="43"/>
      <c r="H174" s="271"/>
      <c r="I174" s="35"/>
      <c r="J174" s="35"/>
    </row>
    <row r="175" spans="1:10" s="38" customFormat="1">
      <c r="A175" s="43"/>
      <c r="H175" s="271"/>
      <c r="I175" s="35"/>
      <c r="J175" s="35"/>
    </row>
    <row r="176" spans="1:10" s="38" customFormat="1">
      <c r="A176" s="43"/>
      <c r="H176" s="271"/>
      <c r="I176" s="35"/>
      <c r="J176" s="35"/>
    </row>
    <row r="177" spans="1:10" s="38" customFormat="1">
      <c r="A177" s="43"/>
      <c r="H177" s="271"/>
      <c r="I177" s="35"/>
      <c r="J177" s="35"/>
    </row>
    <row r="178" spans="1:10" s="38" customFormat="1">
      <c r="A178" s="43"/>
      <c r="H178" s="271"/>
      <c r="I178" s="35"/>
      <c r="J178" s="35"/>
    </row>
    <row r="179" spans="1:10" s="38" customFormat="1">
      <c r="A179" s="43"/>
      <c r="H179" s="271"/>
      <c r="I179" s="35"/>
      <c r="J179" s="35"/>
    </row>
    <row r="180" spans="1:10" s="38" customFormat="1">
      <c r="A180" s="43"/>
      <c r="H180" s="271"/>
      <c r="I180" s="35"/>
      <c r="J180" s="35"/>
    </row>
    <row r="181" spans="1:10" s="38" customFormat="1">
      <c r="A181" s="43"/>
      <c r="H181" s="271"/>
      <c r="I181" s="35"/>
      <c r="J181" s="35"/>
    </row>
    <row r="182" spans="1:10" s="38" customFormat="1">
      <c r="A182" s="43"/>
      <c r="H182" s="271"/>
      <c r="I182" s="35"/>
      <c r="J182" s="35"/>
    </row>
    <row r="183" spans="1:10" s="38" customFormat="1">
      <c r="A183" s="43"/>
      <c r="H183" s="271"/>
      <c r="I183" s="35"/>
      <c r="J183" s="35"/>
    </row>
    <row r="184" spans="1:10" s="38" customFormat="1">
      <c r="A184" s="43"/>
      <c r="H184" s="271"/>
      <c r="I184" s="35"/>
      <c r="J184" s="35"/>
    </row>
  </sheetData>
  <mergeCells count="10">
    <mergeCell ref="A1:H1"/>
    <mergeCell ref="A2:A3"/>
    <mergeCell ref="B2:B3"/>
    <mergeCell ref="E2:H2"/>
    <mergeCell ref="C2:D2"/>
    <mergeCell ref="F34:H34"/>
    <mergeCell ref="A5:H5"/>
    <mergeCell ref="A15:H15"/>
    <mergeCell ref="F33:H33"/>
    <mergeCell ref="B33:C33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G8" evalError="1"/>
    <ignoredError sqref="C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77"/>
  <sheetViews>
    <sheetView topLeftCell="A59" zoomScaleNormal="100" zoomScaleSheetLayoutView="100" workbookViewId="0">
      <selection activeCell="E72" sqref="E72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275" customWidth="1"/>
    <col min="9" max="9" width="9.140625" style="1"/>
    <col min="10" max="10" width="12" style="1" bestFit="1" customWidth="1"/>
    <col min="11" max="16384" width="9.140625" style="1"/>
  </cols>
  <sheetData>
    <row r="1" spans="1:10" ht="19.5" customHeight="1">
      <c r="A1" s="461" t="s">
        <v>114</v>
      </c>
      <c r="B1" s="461"/>
      <c r="C1" s="461"/>
      <c r="D1" s="461"/>
      <c r="E1" s="461"/>
      <c r="F1" s="461"/>
      <c r="G1" s="461"/>
      <c r="H1" s="461"/>
    </row>
    <row r="2" spans="1:10" ht="6" customHeight="1">
      <c r="A2" s="18"/>
      <c r="B2" s="18"/>
      <c r="C2" s="18"/>
      <c r="D2" s="18"/>
      <c r="E2" s="18"/>
      <c r="F2" s="18"/>
      <c r="G2" s="18"/>
      <c r="H2" s="273"/>
    </row>
    <row r="3" spans="1:10" ht="59.25" customHeight="1">
      <c r="A3" s="466" t="s">
        <v>202</v>
      </c>
      <c r="B3" s="507" t="s">
        <v>1</v>
      </c>
      <c r="C3" s="466" t="s">
        <v>478</v>
      </c>
      <c r="D3" s="466"/>
      <c r="E3" s="508" t="s">
        <v>477</v>
      </c>
      <c r="F3" s="509"/>
      <c r="G3" s="509"/>
      <c r="H3" s="510"/>
    </row>
    <row r="4" spans="1:10" ht="60" customHeight="1">
      <c r="A4" s="466"/>
      <c r="B4" s="507"/>
      <c r="C4" s="259" t="s">
        <v>475</v>
      </c>
      <c r="D4" s="6" t="s">
        <v>476</v>
      </c>
      <c r="E4" s="47" t="s">
        <v>186</v>
      </c>
      <c r="F4" s="47" t="s">
        <v>176</v>
      </c>
      <c r="G4" s="47" t="s">
        <v>197</v>
      </c>
      <c r="H4" s="262" t="s">
        <v>198</v>
      </c>
    </row>
    <row r="5" spans="1:10" ht="13.5" customHeight="1">
      <c r="A5" s="88">
        <v>1</v>
      </c>
      <c r="B5" s="104">
        <v>2</v>
      </c>
      <c r="C5" s="88">
        <v>3</v>
      </c>
      <c r="D5" s="88">
        <v>4</v>
      </c>
      <c r="E5" s="88">
        <v>5</v>
      </c>
      <c r="F5" s="104">
        <v>6</v>
      </c>
      <c r="G5" s="88">
        <v>7</v>
      </c>
      <c r="H5" s="276">
        <v>8</v>
      </c>
    </row>
    <row r="6" spans="1:10" s="42" customFormat="1" ht="29.25" customHeight="1">
      <c r="A6" s="511" t="s">
        <v>118</v>
      </c>
      <c r="B6" s="511"/>
      <c r="C6" s="511"/>
      <c r="D6" s="511"/>
      <c r="E6" s="511"/>
      <c r="F6" s="511"/>
      <c r="G6" s="511"/>
      <c r="H6" s="511"/>
    </row>
    <row r="7" spans="1:10" ht="45" customHeight="1">
      <c r="A7" s="182" t="s">
        <v>358</v>
      </c>
      <c r="B7" s="183" t="s">
        <v>359</v>
      </c>
      <c r="C7" s="203">
        <f>SUM(C8:C12)</f>
        <v>58793</v>
      </c>
      <c r="D7" s="203">
        <f>SUM(D8:D12)</f>
        <v>57400</v>
      </c>
      <c r="E7" s="203">
        <f>SUM(E8:E12)</f>
        <v>14850</v>
      </c>
      <c r="F7" s="203">
        <f>SUM(F8:F12)</f>
        <v>14848</v>
      </c>
      <c r="G7" s="203">
        <f t="shared" ref="G7:G19" si="0">F7-E7</f>
        <v>-2</v>
      </c>
      <c r="H7" s="263">
        <f>F7/E7*100</f>
        <v>99.986531986531986</v>
      </c>
    </row>
    <row r="8" spans="1:10" ht="28.5" customHeight="1">
      <c r="A8" s="210" t="s">
        <v>338</v>
      </c>
      <c r="B8" s="179" t="s">
        <v>339</v>
      </c>
      <c r="C8" s="82">
        <v>58355</v>
      </c>
      <c r="D8" s="82">
        <v>56832</v>
      </c>
      <c r="E8" s="82">
        <v>14850</v>
      </c>
      <c r="F8" s="82">
        <f>D8-42496</f>
        <v>14336</v>
      </c>
      <c r="G8" s="84">
        <f t="shared" si="0"/>
        <v>-514</v>
      </c>
      <c r="H8" s="263">
        <f t="shared" ref="H8:H19" si="1">F8/E8*100</f>
        <v>96.53872053872054</v>
      </c>
      <c r="I8" s="401"/>
    </row>
    <row r="9" spans="1:10" ht="30" customHeight="1">
      <c r="A9" s="211" t="s">
        <v>448</v>
      </c>
      <c r="B9" s="179" t="s">
        <v>340</v>
      </c>
      <c r="C9" s="82">
        <v>261</v>
      </c>
      <c r="D9" s="82">
        <v>545</v>
      </c>
      <c r="E9" s="82"/>
      <c r="F9" s="352">
        <v>545</v>
      </c>
      <c r="G9" s="84">
        <f t="shared" si="0"/>
        <v>545</v>
      </c>
      <c r="H9" s="263" t="e">
        <f t="shared" si="1"/>
        <v>#DIV/0!</v>
      </c>
      <c r="I9" s="402">
        <f>96+100</f>
        <v>196</v>
      </c>
    </row>
    <row r="10" spans="1:10" ht="25.5" customHeight="1">
      <c r="A10" s="211" t="s">
        <v>341</v>
      </c>
      <c r="B10" s="179" t="s">
        <v>342</v>
      </c>
      <c r="C10" s="82"/>
      <c r="D10" s="82"/>
      <c r="E10" s="82"/>
      <c r="F10" s="352"/>
      <c r="G10" s="84">
        <f t="shared" si="0"/>
        <v>0</v>
      </c>
      <c r="H10" s="263" t="e">
        <f t="shared" si="1"/>
        <v>#DIV/0!</v>
      </c>
      <c r="I10" s="402"/>
    </row>
    <row r="11" spans="1:10" ht="24.75" customHeight="1">
      <c r="A11" s="211" t="s">
        <v>449</v>
      </c>
      <c r="B11" s="179" t="s">
        <v>343</v>
      </c>
      <c r="C11" s="82"/>
      <c r="D11" s="82"/>
      <c r="E11" s="82"/>
      <c r="F11" s="352"/>
      <c r="G11" s="84">
        <f t="shared" si="0"/>
        <v>0</v>
      </c>
      <c r="H11" s="263" t="e">
        <f t="shared" si="1"/>
        <v>#DIV/0!</v>
      </c>
      <c r="I11" s="402"/>
    </row>
    <row r="12" spans="1:10" ht="27.75" customHeight="1">
      <c r="A12" s="211" t="s">
        <v>402</v>
      </c>
      <c r="B12" s="180" t="s">
        <v>344</v>
      </c>
      <c r="C12" s="82">
        <v>177</v>
      </c>
      <c r="D12" s="82">
        <v>23</v>
      </c>
      <c r="E12" s="82"/>
      <c r="F12" s="352">
        <f>23-56</f>
        <v>-33</v>
      </c>
      <c r="G12" s="84">
        <f t="shared" si="0"/>
        <v>-33</v>
      </c>
      <c r="H12" s="263" t="e">
        <f t="shared" si="1"/>
        <v>#DIV/0!</v>
      </c>
      <c r="I12" s="402">
        <v>6</v>
      </c>
    </row>
    <row r="13" spans="1:10" ht="41.25" customHeight="1">
      <c r="A13" s="182" t="s">
        <v>345</v>
      </c>
      <c r="B13" s="183" t="s">
        <v>346</v>
      </c>
      <c r="C13" s="203">
        <f>SUM(C14:C18)</f>
        <v>-57027</v>
      </c>
      <c r="D13" s="203">
        <f>SUM(D14:D18)</f>
        <v>-57864</v>
      </c>
      <c r="E13" s="203">
        <f>SUM(E14:E18)</f>
        <v>-15117</v>
      </c>
      <c r="F13" s="403">
        <f>SUM(F14:F18)</f>
        <v>-14809</v>
      </c>
      <c r="G13" s="203">
        <f t="shared" si="0"/>
        <v>308</v>
      </c>
      <c r="H13" s="263">
        <f t="shared" si="1"/>
        <v>97.962558708738499</v>
      </c>
      <c r="I13" s="401"/>
    </row>
    <row r="14" spans="1:10" ht="30.75" customHeight="1">
      <c r="A14" s="210" t="s">
        <v>347</v>
      </c>
      <c r="B14" s="179" t="s">
        <v>348</v>
      </c>
      <c r="C14" s="82">
        <v>-21741</v>
      </c>
      <c r="D14" s="82">
        <f>-5195+-5629+-5565+-5207</f>
        <v>-21596</v>
      </c>
      <c r="E14" s="82">
        <v>-5400</v>
      </c>
      <c r="F14" s="352">
        <f>-5207</f>
        <v>-5207</v>
      </c>
      <c r="G14" s="84"/>
      <c r="H14" s="263">
        <f t="shared" si="1"/>
        <v>96.425925925925924</v>
      </c>
      <c r="I14" s="401"/>
      <c r="J14" s="329"/>
    </row>
    <row r="15" spans="1:10" ht="26.25" customHeight="1">
      <c r="A15" s="210" t="s">
        <v>349</v>
      </c>
      <c r="B15" s="179" t="s">
        <v>350</v>
      </c>
      <c r="C15" s="82">
        <v>-19521</v>
      </c>
      <c r="D15" s="82">
        <f>-6143+-2166+-5623+-5005</f>
        <v>-18937</v>
      </c>
      <c r="E15" s="82">
        <v>-7128</v>
      </c>
      <c r="F15" s="352">
        <f>-6553+1548</f>
        <v>-5005</v>
      </c>
      <c r="G15" s="396"/>
      <c r="H15" s="263">
        <f t="shared" si="1"/>
        <v>70.216049382716051</v>
      </c>
      <c r="I15" s="402">
        <v>6552</v>
      </c>
      <c r="J15" s="329"/>
    </row>
    <row r="16" spans="1:10" ht="28.5" customHeight="1">
      <c r="A16" s="210" t="s">
        <v>351</v>
      </c>
      <c r="B16" s="179" t="s">
        <v>352</v>
      </c>
      <c r="C16" s="82" t="s">
        <v>485</v>
      </c>
      <c r="D16" s="82" t="s">
        <v>254</v>
      </c>
      <c r="E16" s="82" t="s">
        <v>254</v>
      </c>
      <c r="F16" s="352" t="s">
        <v>254</v>
      </c>
      <c r="G16" s="84"/>
      <c r="H16" s="263" t="e">
        <f t="shared" si="1"/>
        <v>#VALUE!</v>
      </c>
      <c r="I16" s="402"/>
    </row>
    <row r="17" spans="1:9" ht="28.5" customHeight="1">
      <c r="A17" s="210" t="s">
        <v>353</v>
      </c>
      <c r="B17" s="180" t="s">
        <v>354</v>
      </c>
      <c r="C17" s="82">
        <v>-15765</v>
      </c>
      <c r="D17" s="82">
        <f>-17295</f>
        <v>-17295</v>
      </c>
      <c r="E17" s="82">
        <f>-2589</f>
        <v>-2589</v>
      </c>
      <c r="F17" s="450">
        <v>-4579</v>
      </c>
      <c r="G17" s="84"/>
      <c r="H17" s="263">
        <f t="shared" si="1"/>
        <v>176.8636539204326</v>
      </c>
      <c r="I17" s="402">
        <v>3012</v>
      </c>
    </row>
    <row r="18" spans="1:9" ht="29.25" customHeight="1">
      <c r="A18" s="210" t="s">
        <v>355</v>
      </c>
      <c r="B18" s="180" t="s">
        <v>356</v>
      </c>
      <c r="C18" s="82" t="s">
        <v>254</v>
      </c>
      <c r="D18" s="82">
        <f>-36</f>
        <v>-36</v>
      </c>
      <c r="E18" s="82" t="s">
        <v>485</v>
      </c>
      <c r="F18" s="82">
        <f>D18+18</f>
        <v>-18</v>
      </c>
      <c r="G18" s="84"/>
      <c r="H18" s="263" t="e">
        <f t="shared" si="1"/>
        <v>#VALUE!</v>
      </c>
      <c r="I18" s="401"/>
    </row>
    <row r="19" spans="1:9" ht="39.75" customHeight="1">
      <c r="A19" s="184" t="s">
        <v>117</v>
      </c>
      <c r="B19" s="185" t="s">
        <v>357</v>
      </c>
      <c r="C19" s="203">
        <f>C7+C13</f>
        <v>1766</v>
      </c>
      <c r="D19" s="203">
        <f>D7+D13</f>
        <v>-464</v>
      </c>
      <c r="E19" s="203">
        <f>E7+E13</f>
        <v>-267</v>
      </c>
      <c r="F19" s="203">
        <f>F7+F13</f>
        <v>39</v>
      </c>
      <c r="G19" s="203">
        <f t="shared" si="0"/>
        <v>306</v>
      </c>
      <c r="H19" s="263">
        <f t="shared" si="1"/>
        <v>-14.606741573033707</v>
      </c>
      <c r="I19" s="401"/>
    </row>
    <row r="20" spans="1:9" ht="31.5" customHeight="1">
      <c r="A20" s="511" t="s">
        <v>119</v>
      </c>
      <c r="B20" s="511"/>
      <c r="C20" s="511"/>
      <c r="D20" s="511"/>
      <c r="E20" s="511"/>
      <c r="F20" s="511"/>
      <c r="G20" s="511"/>
      <c r="H20" s="511"/>
      <c r="I20" s="401"/>
    </row>
    <row r="21" spans="1:9" ht="40.5" customHeight="1">
      <c r="A21" s="182" t="s">
        <v>394</v>
      </c>
      <c r="B21" s="198"/>
      <c r="C21" s="321">
        <f>C22+C23+C24+C25+C28</f>
        <v>0</v>
      </c>
      <c r="D21" s="321">
        <f>D22+D23+D24+D25+D28</f>
        <v>0</v>
      </c>
      <c r="E21" s="321">
        <f>E22+E23+E24+E25+E28</f>
        <v>0</v>
      </c>
      <c r="F21" s="321">
        <f>F22+F23+F24+F25+F28</f>
        <v>0</v>
      </c>
      <c r="G21" s="84">
        <f t="shared" ref="G21:G41" si="2">F21-E21</f>
        <v>0</v>
      </c>
      <c r="H21" s="267" t="e">
        <f>F21/E21*100</f>
        <v>#DIV/0!</v>
      </c>
      <c r="I21" s="401"/>
    </row>
    <row r="22" spans="1:9" ht="28.5" customHeight="1">
      <c r="A22" s="212" t="s">
        <v>26</v>
      </c>
      <c r="B22" s="179" t="s">
        <v>397</v>
      </c>
      <c r="C22" s="82"/>
      <c r="D22" s="82"/>
      <c r="E22" s="82"/>
      <c r="F22" s="82"/>
      <c r="G22" s="84">
        <f t="shared" si="2"/>
        <v>0</v>
      </c>
      <c r="H22" s="267" t="e">
        <f t="shared" ref="H22:H31" si="3">F22/E22*100</f>
        <v>#DIV/0!</v>
      </c>
      <c r="I22" s="401"/>
    </row>
    <row r="23" spans="1:9" ht="30" customHeight="1">
      <c r="A23" s="212" t="s">
        <v>398</v>
      </c>
      <c r="B23" s="179" t="s">
        <v>399</v>
      </c>
      <c r="C23" s="82"/>
      <c r="D23" s="82"/>
      <c r="E23" s="82"/>
      <c r="F23" s="82"/>
      <c r="G23" s="84">
        <f t="shared" si="2"/>
        <v>0</v>
      </c>
      <c r="H23" s="267" t="e">
        <f t="shared" si="3"/>
        <v>#DIV/0!</v>
      </c>
      <c r="I23" s="401"/>
    </row>
    <row r="24" spans="1:9" ht="27" customHeight="1">
      <c r="A24" s="212" t="s">
        <v>400</v>
      </c>
      <c r="B24" s="179" t="s">
        <v>401</v>
      </c>
      <c r="C24" s="82"/>
      <c r="D24" s="82"/>
      <c r="E24" s="82"/>
      <c r="F24" s="82"/>
      <c r="G24" s="84">
        <f t="shared" si="2"/>
        <v>0</v>
      </c>
      <c r="H24" s="267" t="e">
        <f t="shared" si="3"/>
        <v>#DIV/0!</v>
      </c>
      <c r="I24" s="401"/>
    </row>
    <row r="25" spans="1:9" ht="21.75" customHeight="1">
      <c r="A25" s="212" t="s">
        <v>123</v>
      </c>
      <c r="B25" s="228"/>
      <c r="C25" s="82"/>
      <c r="D25" s="82"/>
      <c r="E25" s="82"/>
      <c r="F25" s="82"/>
      <c r="G25" s="84">
        <f t="shared" si="2"/>
        <v>0</v>
      </c>
      <c r="H25" s="267" t="e">
        <f t="shared" si="3"/>
        <v>#DIV/0!</v>
      </c>
      <c r="I25" s="401"/>
    </row>
    <row r="26" spans="1:9" ht="21.75" customHeight="1">
      <c r="A26" s="227" t="s">
        <v>450</v>
      </c>
      <c r="B26" s="228" t="s">
        <v>403</v>
      </c>
      <c r="C26" s="82"/>
      <c r="D26" s="82"/>
      <c r="E26" s="82"/>
      <c r="F26" s="82"/>
      <c r="G26" s="84">
        <f t="shared" si="2"/>
        <v>0</v>
      </c>
      <c r="H26" s="267" t="e">
        <f t="shared" si="3"/>
        <v>#DIV/0!</v>
      </c>
      <c r="I26" s="401"/>
    </row>
    <row r="27" spans="1:9" ht="22.5" customHeight="1">
      <c r="A27" s="227" t="s">
        <v>451</v>
      </c>
      <c r="B27" s="228" t="s">
        <v>396</v>
      </c>
      <c r="C27" s="82"/>
      <c r="D27" s="82"/>
      <c r="E27" s="82"/>
      <c r="F27" s="82"/>
      <c r="G27" s="84">
        <f t="shared" si="2"/>
        <v>0</v>
      </c>
      <c r="H27" s="267" t="e">
        <f t="shared" si="3"/>
        <v>#DIV/0!</v>
      </c>
      <c r="I27" s="401"/>
    </row>
    <row r="28" spans="1:9" ht="27" customHeight="1">
      <c r="A28" s="213" t="s">
        <v>402</v>
      </c>
      <c r="B28" s="214" t="s">
        <v>405</v>
      </c>
      <c r="C28" s="82"/>
      <c r="D28" s="82"/>
      <c r="E28" s="82"/>
      <c r="F28" s="82"/>
      <c r="G28" s="84">
        <f t="shared" si="2"/>
        <v>0</v>
      </c>
      <c r="H28" s="267" t="e">
        <f t="shared" si="3"/>
        <v>#DIV/0!</v>
      </c>
      <c r="I28" s="401"/>
    </row>
    <row r="29" spans="1:9" ht="11.25" customHeight="1">
      <c r="A29" s="172" t="s">
        <v>263</v>
      </c>
      <c r="B29" s="215"/>
      <c r="C29" s="102"/>
      <c r="D29" s="102"/>
      <c r="E29" s="102"/>
      <c r="F29" s="102"/>
      <c r="G29" s="103">
        <f t="shared" si="2"/>
        <v>0</v>
      </c>
      <c r="H29" s="267" t="e">
        <f t="shared" si="3"/>
        <v>#DIV/0!</v>
      </c>
      <c r="I29" s="401"/>
    </row>
    <row r="30" spans="1:9" ht="22.5" customHeight="1">
      <c r="A30" s="172" t="s">
        <v>271</v>
      </c>
      <c r="B30" s="216" t="s">
        <v>363</v>
      </c>
      <c r="C30" s="102"/>
      <c r="D30" s="102"/>
      <c r="E30" s="102"/>
      <c r="F30" s="102"/>
      <c r="G30" s="103">
        <f t="shared" si="2"/>
        <v>0</v>
      </c>
      <c r="H30" s="267" t="e">
        <f t="shared" si="3"/>
        <v>#DIV/0!</v>
      </c>
      <c r="I30" s="401"/>
    </row>
    <row r="31" spans="1:9" ht="21.75" customHeight="1">
      <c r="A31" s="172" t="s">
        <v>262</v>
      </c>
      <c r="B31" s="216" t="s">
        <v>364</v>
      </c>
      <c r="C31" s="82"/>
      <c r="D31" s="82"/>
      <c r="E31" s="82"/>
      <c r="F31" s="82"/>
      <c r="G31" s="84">
        <f t="shared" si="2"/>
        <v>0</v>
      </c>
      <c r="H31" s="267" t="e">
        <f t="shared" si="3"/>
        <v>#DIV/0!</v>
      </c>
      <c r="I31" s="401"/>
    </row>
    <row r="32" spans="1:9" ht="45.75" customHeight="1">
      <c r="A32" s="182" t="s">
        <v>395</v>
      </c>
      <c r="B32" s="183" t="s">
        <v>407</v>
      </c>
      <c r="C32" s="84">
        <f>SUM(C33:C40)</f>
        <v>-164</v>
      </c>
      <c r="D32" s="84">
        <f>SUM(D33:D40)</f>
        <v>-178</v>
      </c>
      <c r="E32" s="84">
        <f>SUM(E33:E40)</f>
        <v>-50</v>
      </c>
      <c r="F32" s="84">
        <f>SUM(F33:F40)</f>
        <v>-16</v>
      </c>
      <c r="G32" s="84">
        <f>F32-E32</f>
        <v>34</v>
      </c>
      <c r="H32" s="267">
        <f>F32/E32*100</f>
        <v>32</v>
      </c>
      <c r="I32" s="401"/>
    </row>
    <row r="33" spans="1:9" ht="54.75" customHeight="1">
      <c r="A33" s="212" t="s">
        <v>404</v>
      </c>
      <c r="B33" s="179" t="s">
        <v>408</v>
      </c>
      <c r="C33" s="82">
        <v>-164</v>
      </c>
      <c r="D33" s="82">
        <f>-79+-81+-2+-16</f>
        <v>-178</v>
      </c>
      <c r="E33" s="82">
        <v>-50</v>
      </c>
      <c r="F33" s="82">
        <v>-16</v>
      </c>
      <c r="G33" s="84">
        <f t="shared" si="2"/>
        <v>34</v>
      </c>
      <c r="H33" s="267">
        <f t="shared" ref="H33:H41" si="4">F33/E33*100</f>
        <v>32</v>
      </c>
      <c r="I33" s="401"/>
    </row>
    <row r="34" spans="1:9" ht="43.5" customHeight="1">
      <c r="A34" s="7" t="s">
        <v>406</v>
      </c>
      <c r="B34" s="179" t="s">
        <v>409</v>
      </c>
      <c r="C34" s="82" t="s">
        <v>254</v>
      </c>
      <c r="D34" s="82" t="s">
        <v>254</v>
      </c>
      <c r="E34" s="82" t="s">
        <v>254</v>
      </c>
      <c r="F34" s="82" t="s">
        <v>254</v>
      </c>
      <c r="G34" s="84" t="e">
        <f t="shared" si="2"/>
        <v>#VALUE!</v>
      </c>
      <c r="H34" s="267" t="e">
        <f t="shared" si="4"/>
        <v>#VALUE!</v>
      </c>
      <c r="I34" s="401"/>
    </row>
    <row r="35" spans="1:9" ht="37.5" customHeight="1">
      <c r="A35" s="7" t="s">
        <v>412</v>
      </c>
      <c r="B35" s="179" t="s">
        <v>410</v>
      </c>
      <c r="C35" s="82" t="s">
        <v>254</v>
      </c>
      <c r="D35" s="82" t="s">
        <v>254</v>
      </c>
      <c r="E35" s="82" t="s">
        <v>254</v>
      </c>
      <c r="F35" s="82" t="s">
        <v>254</v>
      </c>
      <c r="G35" s="84" t="e">
        <f t="shared" si="2"/>
        <v>#VALUE!</v>
      </c>
      <c r="H35" s="267" t="e">
        <f t="shared" si="4"/>
        <v>#VALUE!</v>
      </c>
      <c r="I35" s="401"/>
    </row>
    <row r="36" spans="1:9" ht="30" customHeight="1">
      <c r="A36" s="7" t="s">
        <v>46</v>
      </c>
      <c r="B36" s="179" t="s">
        <v>413</v>
      </c>
      <c r="C36" s="82" t="s">
        <v>254</v>
      </c>
      <c r="D36" s="82" t="s">
        <v>254</v>
      </c>
      <c r="E36" s="82" t="s">
        <v>254</v>
      </c>
      <c r="F36" s="82" t="s">
        <v>254</v>
      </c>
      <c r="G36" s="84" t="e">
        <f t="shared" si="2"/>
        <v>#VALUE!</v>
      </c>
      <c r="H36" s="267" t="e">
        <f t="shared" si="4"/>
        <v>#VALUE!</v>
      </c>
      <c r="I36" s="401"/>
    </row>
    <row r="37" spans="1:9" ht="27" customHeight="1">
      <c r="A37" s="7" t="s">
        <v>355</v>
      </c>
      <c r="B37" s="180" t="s">
        <v>453</v>
      </c>
      <c r="C37" s="82" t="s">
        <v>254</v>
      </c>
      <c r="D37" s="82" t="s">
        <v>254</v>
      </c>
      <c r="E37" s="82" t="s">
        <v>254</v>
      </c>
      <c r="F37" s="82" t="s">
        <v>254</v>
      </c>
      <c r="G37" s="84" t="e">
        <f t="shared" si="2"/>
        <v>#VALUE!</v>
      </c>
      <c r="H37" s="267" t="e">
        <f t="shared" si="4"/>
        <v>#VALUE!</v>
      </c>
      <c r="I37" s="401"/>
    </row>
    <row r="38" spans="1:9" ht="11.25" customHeight="1">
      <c r="A38" s="217" t="s">
        <v>264</v>
      </c>
      <c r="B38" s="218"/>
      <c r="C38" s="82"/>
      <c r="D38" s="82"/>
      <c r="E38" s="82"/>
      <c r="F38" s="82"/>
      <c r="G38" s="84">
        <f t="shared" si="2"/>
        <v>0</v>
      </c>
      <c r="H38" s="267" t="e">
        <f t="shared" si="4"/>
        <v>#DIV/0!</v>
      </c>
      <c r="I38" s="401"/>
    </row>
    <row r="39" spans="1:9" ht="21.75" customHeight="1">
      <c r="A39" s="172" t="s">
        <v>271</v>
      </c>
      <c r="B39" s="219" t="s">
        <v>454</v>
      </c>
      <c r="C39" s="102" t="s">
        <v>254</v>
      </c>
      <c r="D39" s="102" t="s">
        <v>254</v>
      </c>
      <c r="E39" s="102" t="s">
        <v>254</v>
      </c>
      <c r="F39" s="102" t="s">
        <v>254</v>
      </c>
      <c r="G39" s="84" t="e">
        <f t="shared" si="2"/>
        <v>#VALUE!</v>
      </c>
      <c r="H39" s="267" t="e">
        <f t="shared" si="4"/>
        <v>#VALUE!</v>
      </c>
      <c r="I39" s="401"/>
    </row>
    <row r="40" spans="1:9" ht="21" customHeight="1">
      <c r="A40" s="172" t="s">
        <v>411</v>
      </c>
      <c r="B40" s="219" t="s">
        <v>455</v>
      </c>
      <c r="C40" s="102" t="s">
        <v>254</v>
      </c>
      <c r="D40" s="102" t="s">
        <v>254</v>
      </c>
      <c r="E40" s="102" t="s">
        <v>254</v>
      </c>
      <c r="F40" s="102" t="s">
        <v>254</v>
      </c>
      <c r="G40" s="84" t="e">
        <f t="shared" si="2"/>
        <v>#VALUE!</v>
      </c>
      <c r="H40" s="267" t="e">
        <f t="shared" si="4"/>
        <v>#VALUE!</v>
      </c>
      <c r="I40" s="401"/>
    </row>
    <row r="41" spans="1:9" ht="42.75" customHeight="1">
      <c r="A41" s="186" t="s">
        <v>120</v>
      </c>
      <c r="B41" s="185" t="s">
        <v>452</v>
      </c>
      <c r="C41" s="84">
        <f>SUM(C22:C24,C29:C31,C33:C37)</f>
        <v>-164</v>
      </c>
      <c r="D41" s="84">
        <f>SUM(D22:D24,D29:D31,D33:D37)</f>
        <v>-178</v>
      </c>
      <c r="E41" s="84">
        <f>SUM(E22:E24,E29:E31,E33:E37)</f>
        <v>-50</v>
      </c>
      <c r="F41" s="84">
        <f>SUM(F22:F24,F29:F31,F33:F37)</f>
        <v>-16</v>
      </c>
      <c r="G41" s="84">
        <f t="shared" si="2"/>
        <v>34</v>
      </c>
      <c r="H41" s="267">
        <f t="shared" si="4"/>
        <v>32</v>
      </c>
      <c r="I41" s="401"/>
    </row>
    <row r="42" spans="1:9" ht="20.100000000000001" hidden="1" customHeight="1" outlineLevel="1">
      <c r="A42" s="48"/>
      <c r="B42" s="8"/>
      <c r="C42" s="64"/>
      <c r="D42" s="64"/>
      <c r="E42" s="64"/>
      <c r="F42" s="504" t="s">
        <v>171</v>
      </c>
      <c r="G42" s="505"/>
      <c r="H42" s="506"/>
      <c r="I42" s="401"/>
    </row>
    <row r="43" spans="1:9" ht="20.100000000000001" hidden="1" customHeight="1" outlineLevel="1">
      <c r="A43" s="48"/>
      <c r="B43" s="8"/>
      <c r="C43" s="64"/>
      <c r="D43" s="64"/>
      <c r="E43" s="64"/>
      <c r="F43" s="504" t="s">
        <v>204</v>
      </c>
      <c r="G43" s="505"/>
      <c r="H43" s="506"/>
      <c r="I43" s="401"/>
    </row>
    <row r="44" spans="1:9" ht="30" customHeight="1" collapsed="1">
      <c r="A44" s="511" t="s">
        <v>121</v>
      </c>
      <c r="B44" s="511"/>
      <c r="C44" s="511"/>
      <c r="D44" s="511"/>
      <c r="E44" s="511"/>
      <c r="F44" s="511"/>
      <c r="G44" s="511"/>
      <c r="H44" s="511"/>
      <c r="I44" s="401"/>
    </row>
    <row r="45" spans="1:9" ht="39" customHeight="1">
      <c r="A45" s="220" t="s">
        <v>414</v>
      </c>
      <c r="B45" s="221" t="s">
        <v>415</v>
      </c>
      <c r="C45" s="321">
        <f>C46+C47+C51+C55+C56</f>
        <v>0</v>
      </c>
      <c r="D45" s="321">
        <f>D46+D47+D51+D55+D56</f>
        <v>0</v>
      </c>
      <c r="E45" s="321">
        <f>E46+E47+E51+E55+E56</f>
        <v>0</v>
      </c>
      <c r="F45" s="321">
        <f>F46+F47+F51+F55+F56</f>
        <v>0</v>
      </c>
      <c r="G45" s="84">
        <f t="shared" ref="G45:G68" si="5">F45-E45</f>
        <v>0</v>
      </c>
      <c r="H45" s="267" t="e">
        <f>F45/E45*100</f>
        <v>#DIV/0!</v>
      </c>
      <c r="I45" s="401"/>
    </row>
    <row r="46" spans="1:9" ht="24" customHeight="1">
      <c r="A46" s="222" t="s">
        <v>482</v>
      </c>
      <c r="B46" s="223" t="s">
        <v>416</v>
      </c>
      <c r="C46" s="82"/>
      <c r="D46" s="82"/>
      <c r="E46" s="82"/>
      <c r="F46" s="82"/>
      <c r="G46" s="84">
        <f t="shared" si="5"/>
        <v>0</v>
      </c>
      <c r="H46" s="267" t="e">
        <f t="shared" ref="H46:H56" si="6">F46/E46*100</f>
        <v>#DIV/0!</v>
      </c>
      <c r="I46" s="401"/>
    </row>
    <row r="47" spans="1:9" ht="37.5" customHeight="1">
      <c r="A47" s="7" t="s">
        <v>443</v>
      </c>
      <c r="B47" s="223" t="s">
        <v>417</v>
      </c>
      <c r="C47" s="82"/>
      <c r="D47" s="82"/>
      <c r="E47" s="82"/>
      <c r="F47" s="82"/>
      <c r="G47" s="84">
        <f t="shared" si="5"/>
        <v>0</v>
      </c>
      <c r="H47" s="267" t="e">
        <f t="shared" si="6"/>
        <v>#DIV/0!</v>
      </c>
      <c r="I47" s="401"/>
    </row>
    <row r="48" spans="1:9" ht="20.100000000000001" customHeight="1">
      <c r="A48" s="172" t="s">
        <v>78</v>
      </c>
      <c r="B48" s="224" t="s">
        <v>418</v>
      </c>
      <c r="C48" s="102"/>
      <c r="D48" s="102"/>
      <c r="E48" s="102"/>
      <c r="F48" s="102"/>
      <c r="G48" s="103">
        <f t="shared" si="5"/>
        <v>0</v>
      </c>
      <c r="H48" s="267" t="e">
        <f t="shared" si="6"/>
        <v>#DIV/0!</v>
      </c>
      <c r="I48" s="401"/>
    </row>
    <row r="49" spans="1:9" ht="17.25" customHeight="1">
      <c r="A49" s="172" t="s">
        <v>79</v>
      </c>
      <c r="B49" s="224" t="s">
        <v>419</v>
      </c>
      <c r="C49" s="102"/>
      <c r="D49" s="102"/>
      <c r="E49" s="102"/>
      <c r="F49" s="102"/>
      <c r="G49" s="103">
        <f t="shared" si="5"/>
        <v>0</v>
      </c>
      <c r="H49" s="267" t="e">
        <f t="shared" si="6"/>
        <v>#DIV/0!</v>
      </c>
      <c r="I49" s="401"/>
    </row>
    <row r="50" spans="1:9" ht="18" customHeight="1">
      <c r="A50" s="172" t="s">
        <v>89</v>
      </c>
      <c r="B50" s="224" t="s">
        <v>420</v>
      </c>
      <c r="C50" s="102"/>
      <c r="D50" s="102"/>
      <c r="E50" s="102"/>
      <c r="F50" s="102"/>
      <c r="G50" s="103">
        <f t="shared" si="5"/>
        <v>0</v>
      </c>
      <c r="H50" s="267" t="e">
        <f t="shared" si="6"/>
        <v>#DIV/0!</v>
      </c>
      <c r="I50" s="401"/>
    </row>
    <row r="51" spans="1:9" ht="37.5" customHeight="1">
      <c r="A51" s="7" t="s">
        <v>444</v>
      </c>
      <c r="B51" s="223" t="s">
        <v>421</v>
      </c>
      <c r="C51" s="82"/>
      <c r="D51" s="82"/>
      <c r="E51" s="82"/>
      <c r="F51" s="82"/>
      <c r="G51" s="84">
        <f t="shared" si="5"/>
        <v>0</v>
      </c>
      <c r="H51" s="267" t="e">
        <f t="shared" si="6"/>
        <v>#DIV/0!</v>
      </c>
    </row>
    <row r="52" spans="1:9" ht="20.100000000000001" customHeight="1">
      <c r="A52" s="172" t="s">
        <v>78</v>
      </c>
      <c r="B52" s="224" t="s">
        <v>422</v>
      </c>
      <c r="C52" s="102"/>
      <c r="D52" s="102"/>
      <c r="E52" s="102"/>
      <c r="F52" s="102"/>
      <c r="G52" s="103">
        <f t="shared" si="5"/>
        <v>0</v>
      </c>
      <c r="H52" s="267" t="e">
        <f t="shared" si="6"/>
        <v>#DIV/0!</v>
      </c>
    </row>
    <row r="53" spans="1:9" ht="20.100000000000001" customHeight="1">
      <c r="A53" s="172" t="s">
        <v>79</v>
      </c>
      <c r="B53" s="224" t="s">
        <v>423</v>
      </c>
      <c r="C53" s="102"/>
      <c r="D53" s="102"/>
      <c r="E53" s="102"/>
      <c r="F53" s="102"/>
      <c r="G53" s="103">
        <f t="shared" si="5"/>
        <v>0</v>
      </c>
      <c r="H53" s="267" t="e">
        <f t="shared" si="6"/>
        <v>#DIV/0!</v>
      </c>
    </row>
    <row r="54" spans="1:9" ht="20.100000000000001" customHeight="1">
      <c r="A54" s="172" t="s">
        <v>89</v>
      </c>
      <c r="B54" s="224" t="s">
        <v>424</v>
      </c>
      <c r="C54" s="102"/>
      <c r="D54" s="102"/>
      <c r="E54" s="102"/>
      <c r="F54" s="102"/>
      <c r="G54" s="103">
        <f t="shared" si="5"/>
        <v>0</v>
      </c>
      <c r="H54" s="267" t="e">
        <f t="shared" si="6"/>
        <v>#DIV/0!</v>
      </c>
    </row>
    <row r="55" spans="1:9" ht="24.75" customHeight="1">
      <c r="A55" s="7" t="s">
        <v>425</v>
      </c>
      <c r="B55" s="223" t="s">
        <v>426</v>
      </c>
      <c r="C55" s="82"/>
      <c r="D55" s="82"/>
      <c r="E55" s="82"/>
      <c r="F55" s="82"/>
      <c r="G55" s="84">
        <f t="shared" si="5"/>
        <v>0</v>
      </c>
      <c r="H55" s="267" t="e">
        <f t="shared" si="6"/>
        <v>#DIV/0!</v>
      </c>
    </row>
    <row r="56" spans="1:9" ht="24" customHeight="1">
      <c r="A56" s="7" t="s">
        <v>427</v>
      </c>
      <c r="B56" s="223" t="s">
        <v>428</v>
      </c>
      <c r="C56" s="82"/>
      <c r="D56" s="82"/>
      <c r="E56" s="82"/>
      <c r="F56" s="82"/>
      <c r="G56" s="84">
        <f t="shared" si="5"/>
        <v>0</v>
      </c>
      <c r="H56" s="267" t="e">
        <f t="shared" si="6"/>
        <v>#DIV/0!</v>
      </c>
    </row>
    <row r="57" spans="1:9" ht="41.25" customHeight="1">
      <c r="A57" s="182" t="s">
        <v>429</v>
      </c>
      <c r="B57" s="183" t="s">
        <v>430</v>
      </c>
      <c r="C57" s="321">
        <f>SUM(C58:C59,C63,C67)</f>
        <v>0</v>
      </c>
      <c r="D57" s="83">
        <f>SUM(D58:D59,D63,D67)</f>
        <v>-241</v>
      </c>
      <c r="E57" s="83">
        <f>SUM(E58:E59,E63,E67)</f>
        <v>0</v>
      </c>
      <c r="F57" s="83">
        <f>SUM(F58:F59,F63,F67)</f>
        <v>-5</v>
      </c>
      <c r="G57" s="84">
        <f t="shared" si="5"/>
        <v>-5</v>
      </c>
      <c r="H57" s="267" t="e">
        <f>F57/E57*100</f>
        <v>#DIV/0!</v>
      </c>
    </row>
    <row r="58" spans="1:9" ht="44.25" customHeight="1">
      <c r="A58" s="7" t="s">
        <v>431</v>
      </c>
      <c r="B58" s="180" t="s">
        <v>432</v>
      </c>
      <c r="C58" s="82" t="s">
        <v>254</v>
      </c>
      <c r="D58" s="82">
        <f>-131+-63+-42+-5</f>
        <v>-241</v>
      </c>
      <c r="E58" s="352"/>
      <c r="F58" s="82">
        <v>-5</v>
      </c>
      <c r="G58" s="84">
        <f t="shared" si="5"/>
        <v>-5</v>
      </c>
      <c r="H58" s="267" t="e">
        <f t="shared" ref="H58:H73" si="7">F58/E58*100</f>
        <v>#DIV/0!</v>
      </c>
    </row>
    <row r="59" spans="1:9" ht="37.5" customHeight="1">
      <c r="A59" s="7" t="s">
        <v>445</v>
      </c>
      <c r="B59" s="180" t="s">
        <v>433</v>
      </c>
      <c r="C59" s="82" t="s">
        <v>254</v>
      </c>
      <c r="D59" s="82" t="s">
        <v>254</v>
      </c>
      <c r="E59" s="82" t="s">
        <v>254</v>
      </c>
      <c r="F59" s="82" t="s">
        <v>254</v>
      </c>
      <c r="G59" s="84" t="e">
        <f t="shared" si="5"/>
        <v>#VALUE!</v>
      </c>
      <c r="H59" s="267" t="e">
        <f t="shared" si="7"/>
        <v>#VALUE!</v>
      </c>
    </row>
    <row r="60" spans="1:9" ht="20.100000000000001" customHeight="1">
      <c r="A60" s="172" t="s">
        <v>78</v>
      </c>
      <c r="B60" s="225" t="s">
        <v>434</v>
      </c>
      <c r="C60" s="102" t="s">
        <v>254</v>
      </c>
      <c r="D60" s="102" t="s">
        <v>254</v>
      </c>
      <c r="E60" s="102" t="s">
        <v>254</v>
      </c>
      <c r="F60" s="102" t="s">
        <v>254</v>
      </c>
      <c r="G60" s="84" t="e">
        <f t="shared" si="5"/>
        <v>#VALUE!</v>
      </c>
      <c r="H60" s="267" t="e">
        <f t="shared" si="7"/>
        <v>#VALUE!</v>
      </c>
    </row>
    <row r="61" spans="1:9" ht="20.100000000000001" customHeight="1">
      <c r="A61" s="172" t="s">
        <v>79</v>
      </c>
      <c r="B61" s="225" t="s">
        <v>435</v>
      </c>
      <c r="C61" s="102" t="s">
        <v>254</v>
      </c>
      <c r="D61" s="102" t="s">
        <v>254</v>
      </c>
      <c r="E61" s="102" t="s">
        <v>254</v>
      </c>
      <c r="F61" s="102" t="s">
        <v>254</v>
      </c>
      <c r="G61" s="84" t="e">
        <f t="shared" si="5"/>
        <v>#VALUE!</v>
      </c>
      <c r="H61" s="267" t="e">
        <f t="shared" si="7"/>
        <v>#VALUE!</v>
      </c>
    </row>
    <row r="62" spans="1:9" ht="20.100000000000001" customHeight="1">
      <c r="A62" s="172" t="s">
        <v>89</v>
      </c>
      <c r="B62" s="225" t="s">
        <v>436</v>
      </c>
      <c r="C62" s="102" t="s">
        <v>254</v>
      </c>
      <c r="D62" s="102" t="s">
        <v>254</v>
      </c>
      <c r="E62" s="102" t="s">
        <v>254</v>
      </c>
      <c r="F62" s="102" t="s">
        <v>254</v>
      </c>
      <c r="G62" s="84" t="e">
        <f t="shared" si="5"/>
        <v>#VALUE!</v>
      </c>
      <c r="H62" s="267" t="e">
        <f t="shared" si="7"/>
        <v>#VALUE!</v>
      </c>
    </row>
    <row r="63" spans="1:9" ht="40.5" customHeight="1">
      <c r="A63" s="7" t="s">
        <v>446</v>
      </c>
      <c r="B63" s="180" t="s">
        <v>437</v>
      </c>
      <c r="C63" s="82" t="s">
        <v>254</v>
      </c>
      <c r="D63" s="82" t="s">
        <v>254</v>
      </c>
      <c r="E63" s="82" t="s">
        <v>254</v>
      </c>
      <c r="F63" s="82" t="s">
        <v>254</v>
      </c>
      <c r="G63" s="84" t="e">
        <f t="shared" si="5"/>
        <v>#VALUE!</v>
      </c>
      <c r="H63" s="267" t="e">
        <f t="shared" si="7"/>
        <v>#VALUE!</v>
      </c>
    </row>
    <row r="64" spans="1:9" ht="20.100000000000001" customHeight="1">
      <c r="A64" s="172" t="s">
        <v>78</v>
      </c>
      <c r="B64" s="225" t="s">
        <v>438</v>
      </c>
      <c r="C64" s="102" t="s">
        <v>254</v>
      </c>
      <c r="D64" s="102" t="s">
        <v>254</v>
      </c>
      <c r="E64" s="102" t="s">
        <v>254</v>
      </c>
      <c r="F64" s="102" t="s">
        <v>254</v>
      </c>
      <c r="G64" s="84" t="e">
        <f t="shared" si="5"/>
        <v>#VALUE!</v>
      </c>
      <c r="H64" s="267" t="e">
        <f t="shared" si="7"/>
        <v>#VALUE!</v>
      </c>
    </row>
    <row r="65" spans="1:8" ht="20.100000000000001" customHeight="1">
      <c r="A65" s="172" t="s">
        <v>79</v>
      </c>
      <c r="B65" s="225" t="s">
        <v>439</v>
      </c>
      <c r="C65" s="102" t="s">
        <v>254</v>
      </c>
      <c r="D65" s="102" t="s">
        <v>254</v>
      </c>
      <c r="E65" s="102" t="s">
        <v>254</v>
      </c>
      <c r="F65" s="102" t="s">
        <v>254</v>
      </c>
      <c r="G65" s="84" t="e">
        <f t="shared" si="5"/>
        <v>#VALUE!</v>
      </c>
      <c r="H65" s="267" t="e">
        <f t="shared" si="7"/>
        <v>#VALUE!</v>
      </c>
    </row>
    <row r="66" spans="1:8" ht="20.100000000000001" customHeight="1">
      <c r="A66" s="172" t="s">
        <v>89</v>
      </c>
      <c r="B66" s="225" t="s">
        <v>440</v>
      </c>
      <c r="C66" s="102" t="s">
        <v>254</v>
      </c>
      <c r="D66" s="102" t="s">
        <v>254</v>
      </c>
      <c r="E66" s="102" t="s">
        <v>254</v>
      </c>
      <c r="F66" s="102" t="s">
        <v>254</v>
      </c>
      <c r="G66" s="84" t="e">
        <f t="shared" si="5"/>
        <v>#VALUE!</v>
      </c>
      <c r="H66" s="267" t="e">
        <f t="shared" si="7"/>
        <v>#VALUE!</v>
      </c>
    </row>
    <row r="67" spans="1:8" ht="24" customHeight="1">
      <c r="A67" s="7" t="s">
        <v>355</v>
      </c>
      <c r="B67" s="180" t="s">
        <v>441</v>
      </c>
      <c r="C67" s="82" t="s">
        <v>254</v>
      </c>
      <c r="D67" s="82" t="s">
        <v>254</v>
      </c>
      <c r="E67" s="82" t="s">
        <v>254</v>
      </c>
      <c r="F67" s="82" t="s">
        <v>254</v>
      </c>
      <c r="G67" s="84" t="e">
        <f t="shared" si="5"/>
        <v>#VALUE!</v>
      </c>
      <c r="H67" s="267" t="e">
        <f t="shared" si="7"/>
        <v>#VALUE!</v>
      </c>
    </row>
    <row r="68" spans="1:8" ht="31.5" customHeight="1">
      <c r="A68" s="186" t="s">
        <v>122</v>
      </c>
      <c r="B68" s="185" t="s">
        <v>442</v>
      </c>
      <c r="C68" s="321">
        <f>SUM(C57,C45)</f>
        <v>0</v>
      </c>
      <c r="D68" s="83">
        <f>SUM(D57,D45)</f>
        <v>-241</v>
      </c>
      <c r="E68" s="83">
        <f>SUM(E57,E45)</f>
        <v>0</v>
      </c>
      <c r="F68" s="83">
        <f>SUM(F57,F45)</f>
        <v>-5</v>
      </c>
      <c r="G68" s="84">
        <f t="shared" si="5"/>
        <v>-5</v>
      </c>
      <c r="H68" s="267" t="e">
        <f t="shared" si="7"/>
        <v>#DIV/0!</v>
      </c>
    </row>
    <row r="69" spans="1:8" s="13" customFormat="1" ht="27.75" customHeight="1">
      <c r="A69" s="9" t="s">
        <v>228</v>
      </c>
      <c r="B69" s="90"/>
      <c r="C69" s="82"/>
      <c r="D69" s="82"/>
      <c r="E69" s="82"/>
      <c r="F69" s="82"/>
      <c r="G69" s="84">
        <f>F69-E69</f>
        <v>0</v>
      </c>
      <c r="H69" s="267" t="e">
        <f t="shared" si="7"/>
        <v>#DIV/0!</v>
      </c>
    </row>
    <row r="70" spans="1:8" s="13" customFormat="1" ht="29.25" customHeight="1">
      <c r="A70" s="191" t="s">
        <v>27</v>
      </c>
      <c r="B70" s="226">
        <v>3600</v>
      </c>
      <c r="C70" s="203">
        <v>336</v>
      </c>
      <c r="D70" s="203">
        <v>1938</v>
      </c>
      <c r="E70" s="451">
        <v>2127</v>
      </c>
      <c r="F70" s="203">
        <v>1036</v>
      </c>
      <c r="G70" s="203">
        <f>F70-E70</f>
        <v>-1091</v>
      </c>
      <c r="H70" s="267">
        <f t="shared" si="7"/>
        <v>48.707099200752232</v>
      </c>
    </row>
    <row r="71" spans="1:8" s="13" customFormat="1" ht="25.5" customHeight="1">
      <c r="A71" s="62" t="s">
        <v>205</v>
      </c>
      <c r="B71" s="90">
        <v>3610</v>
      </c>
      <c r="C71" s="82"/>
      <c r="D71" s="82"/>
      <c r="E71" s="82"/>
      <c r="F71" s="82"/>
      <c r="G71" s="84">
        <f>F71-E71</f>
        <v>0</v>
      </c>
      <c r="H71" s="267" t="e">
        <f t="shared" si="7"/>
        <v>#DIV/0!</v>
      </c>
    </row>
    <row r="72" spans="1:8" s="13" customFormat="1" ht="28.5" customHeight="1">
      <c r="A72" s="191" t="s">
        <v>47</v>
      </c>
      <c r="B72" s="226">
        <v>3620</v>
      </c>
      <c r="C72" s="327">
        <f>C70+C73+C71</f>
        <v>1938</v>
      </c>
      <c r="D72" s="327">
        <f>D70+D73+D71</f>
        <v>1055</v>
      </c>
      <c r="E72" s="452">
        <v>1816</v>
      </c>
      <c r="F72" s="327">
        <f>F70+F73+F71-2</f>
        <v>1052</v>
      </c>
      <c r="G72" s="203">
        <f>F72-E72</f>
        <v>-764</v>
      </c>
      <c r="H72" s="267">
        <f t="shared" si="7"/>
        <v>57.929515418502199</v>
      </c>
    </row>
    <row r="73" spans="1:8" s="13" customFormat="1" ht="33" customHeight="1">
      <c r="A73" s="191" t="s">
        <v>28</v>
      </c>
      <c r="B73" s="226">
        <v>3630</v>
      </c>
      <c r="C73" s="84">
        <f>C19+C41+C68</f>
        <v>1602</v>
      </c>
      <c r="D73" s="84">
        <f>D19+D41+D68</f>
        <v>-883</v>
      </c>
      <c r="E73" s="84">
        <v>-311</v>
      </c>
      <c r="F73" s="84">
        <f>F19+F41+F68</f>
        <v>18</v>
      </c>
      <c r="G73" s="84">
        <f>G19+G41+G68</f>
        <v>335</v>
      </c>
      <c r="H73" s="267">
        <f t="shared" si="7"/>
        <v>-5.787781350482315</v>
      </c>
    </row>
    <row r="74" spans="1:8" s="13" customFormat="1">
      <c r="A74" s="1"/>
      <c r="B74" s="27"/>
      <c r="C74" s="27"/>
      <c r="D74" s="27"/>
      <c r="E74" s="27"/>
      <c r="F74" s="27"/>
      <c r="G74" s="27"/>
      <c r="H74" s="274"/>
    </row>
    <row r="75" spans="1:8" s="2" customFormat="1" ht="27.75" customHeight="1">
      <c r="A75" s="344" t="s">
        <v>710</v>
      </c>
      <c r="B75" s="468" t="s">
        <v>447</v>
      </c>
      <c r="C75" s="468"/>
      <c r="D75" s="345"/>
      <c r="E75" s="346"/>
      <c r="F75" s="472" t="s">
        <v>489</v>
      </c>
      <c r="G75" s="472"/>
      <c r="H75" s="472"/>
    </row>
    <row r="76" spans="1:8">
      <c r="A76" s="110" t="s">
        <v>182</v>
      </c>
      <c r="B76" s="487" t="s">
        <v>68</v>
      </c>
      <c r="C76" s="487"/>
      <c r="D76" s="253"/>
      <c r="E76" s="111"/>
      <c r="F76" s="497" t="s">
        <v>235</v>
      </c>
      <c r="G76" s="497"/>
      <c r="H76" s="497"/>
    </row>
    <row r="77" spans="1:8">
      <c r="A77" s="350" t="s">
        <v>554</v>
      </c>
    </row>
  </sheetData>
  <mergeCells count="14">
    <mergeCell ref="F42:H42"/>
    <mergeCell ref="F43:H43"/>
    <mergeCell ref="B75:C75"/>
    <mergeCell ref="B76:C76"/>
    <mergeCell ref="A1:H1"/>
    <mergeCell ref="A3:A4"/>
    <mergeCell ref="B3:B4"/>
    <mergeCell ref="E3:H3"/>
    <mergeCell ref="C3:D3"/>
    <mergeCell ref="F76:H76"/>
    <mergeCell ref="A20:H20"/>
    <mergeCell ref="A6:H6"/>
    <mergeCell ref="A44:H44"/>
    <mergeCell ref="F75:H75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topLeftCell="A3" zoomScaleNormal="100" zoomScaleSheetLayoutView="55" workbookViewId="0">
      <selection activeCell="F8" sqref="F8:F10"/>
    </sheetView>
  </sheetViews>
  <sheetFormatPr defaultRowHeight="18.75" outlineLevelRow="1"/>
  <cols>
    <col min="1" max="1" width="41.140625" style="2" customWidth="1"/>
    <col min="2" max="2" width="7" style="21" customWidth="1"/>
    <col min="3" max="4" width="15.140625" style="21" customWidth="1"/>
    <col min="5" max="5" width="13.85546875" style="21" customWidth="1"/>
    <col min="6" max="6" width="13.140625" style="21" customWidth="1"/>
    <col min="7" max="7" width="14.85546875" style="21" customWidth="1"/>
    <col min="8" max="8" width="14.42578125" style="21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4" t="s">
        <v>171</v>
      </c>
    </row>
    <row r="2" spans="1:15" hidden="1" outlineLevel="1">
      <c r="H2" s="24" t="s">
        <v>161</v>
      </c>
    </row>
    <row r="3" spans="1:15" ht="63.75" customHeight="1" collapsed="1">
      <c r="A3" s="461" t="s">
        <v>154</v>
      </c>
      <c r="B3" s="461"/>
      <c r="C3" s="461"/>
      <c r="D3" s="461"/>
      <c r="E3" s="461"/>
      <c r="F3" s="461"/>
      <c r="G3" s="461"/>
      <c r="H3" s="461"/>
    </row>
    <row r="4" spans="1:15">
      <c r="A4" s="513"/>
      <c r="B4" s="513"/>
      <c r="C4" s="513"/>
      <c r="D4" s="513"/>
      <c r="E4" s="513"/>
      <c r="F4" s="513"/>
      <c r="G4" s="513"/>
      <c r="H4" s="513"/>
    </row>
    <row r="5" spans="1:15" ht="58.5" customHeight="1">
      <c r="A5" s="514" t="s">
        <v>202</v>
      </c>
      <c r="B5" s="464" t="s">
        <v>12</v>
      </c>
      <c r="C5" s="517" t="s">
        <v>478</v>
      </c>
      <c r="D5" s="518"/>
      <c r="E5" s="501" t="s">
        <v>477</v>
      </c>
      <c r="F5" s="502"/>
      <c r="G5" s="502"/>
      <c r="H5" s="503"/>
    </row>
    <row r="6" spans="1:15" ht="75.75" customHeight="1">
      <c r="A6" s="515"/>
      <c r="B6" s="464"/>
      <c r="C6" s="259" t="s">
        <v>475</v>
      </c>
      <c r="D6" s="6" t="s">
        <v>476</v>
      </c>
      <c r="E6" s="47" t="s">
        <v>186</v>
      </c>
      <c r="F6" s="47" t="s">
        <v>176</v>
      </c>
      <c r="G6" s="47" t="s">
        <v>197</v>
      </c>
      <c r="H6" s="47" t="s">
        <v>198</v>
      </c>
    </row>
    <row r="7" spans="1:15" ht="15.75" customHeight="1">
      <c r="A7" s="151">
        <v>1</v>
      </c>
      <c r="B7" s="89">
        <v>2</v>
      </c>
      <c r="C7" s="151">
        <v>3</v>
      </c>
      <c r="D7" s="151">
        <v>4</v>
      </c>
      <c r="E7" s="151">
        <v>5</v>
      </c>
      <c r="F7" s="89">
        <v>6</v>
      </c>
      <c r="G7" s="151">
        <v>7</v>
      </c>
      <c r="H7" s="89">
        <v>8</v>
      </c>
    </row>
    <row r="8" spans="1:15" s="4" customFormat="1" ht="63" customHeight="1">
      <c r="A8" s="190" t="s">
        <v>70</v>
      </c>
      <c r="B8" s="199">
        <v>4000</v>
      </c>
      <c r="C8" s="84">
        <f>SUM(C9:C14)</f>
        <v>164</v>
      </c>
      <c r="D8" s="84">
        <f>SUM(D9:D14)</f>
        <v>178</v>
      </c>
      <c r="E8" s="84">
        <f>SUM(E9:E14)</f>
        <v>50</v>
      </c>
      <c r="F8" s="84">
        <f>SUM(F9:F14)</f>
        <v>16</v>
      </c>
      <c r="G8" s="84">
        <f t="shared" ref="G8:G14" si="0">F8-E8</f>
        <v>-34</v>
      </c>
      <c r="H8" s="277">
        <f>F8/E8*100</f>
        <v>32</v>
      </c>
    </row>
    <row r="9" spans="1:15" ht="47.25" customHeight="1">
      <c r="A9" s="7" t="s">
        <v>456</v>
      </c>
      <c r="B9" s="113" t="s">
        <v>160</v>
      </c>
      <c r="C9" s="82"/>
      <c r="D9" s="82"/>
      <c r="E9" s="82"/>
      <c r="F9" s="82"/>
      <c r="G9" s="84">
        <f t="shared" si="0"/>
        <v>0</v>
      </c>
      <c r="H9" s="277" t="e">
        <f t="shared" ref="H9:H14" si="1">F9/E9*100</f>
        <v>#DIV/0!</v>
      </c>
    </row>
    <row r="10" spans="1:15" ht="57" customHeight="1">
      <c r="A10" s="7" t="s">
        <v>457</v>
      </c>
      <c r="B10" s="112">
        <v>4020</v>
      </c>
      <c r="C10" s="82">
        <v>60</v>
      </c>
      <c r="D10" s="82">
        <f>79+81+2+16</f>
        <v>178</v>
      </c>
      <c r="E10" s="82">
        <v>50</v>
      </c>
      <c r="F10" s="82">
        <v>16</v>
      </c>
      <c r="G10" s="84">
        <f t="shared" si="0"/>
        <v>-34</v>
      </c>
      <c r="H10" s="277">
        <f t="shared" si="1"/>
        <v>32</v>
      </c>
      <c r="O10" s="18"/>
    </row>
    <row r="11" spans="1:15" ht="69.75" customHeight="1">
      <c r="A11" s="7" t="s">
        <v>458</v>
      </c>
      <c r="B11" s="113">
        <v>4030</v>
      </c>
      <c r="C11" s="82"/>
      <c r="D11" s="82"/>
      <c r="E11" s="82"/>
      <c r="F11" s="82"/>
      <c r="G11" s="84">
        <f t="shared" si="0"/>
        <v>0</v>
      </c>
      <c r="H11" s="277" t="e">
        <f t="shared" si="1"/>
        <v>#DIV/0!</v>
      </c>
      <c r="N11" s="18"/>
    </row>
    <row r="12" spans="1:15" ht="61.5" customHeight="1">
      <c r="A12" s="7" t="s">
        <v>459</v>
      </c>
      <c r="B12" s="112">
        <v>4040</v>
      </c>
      <c r="C12" s="82"/>
      <c r="D12" s="82"/>
      <c r="E12" s="82"/>
      <c r="F12" s="82"/>
      <c r="G12" s="84">
        <f t="shared" si="0"/>
        <v>0</v>
      </c>
      <c r="H12" s="277" t="e">
        <f t="shared" si="1"/>
        <v>#DIV/0!</v>
      </c>
    </row>
    <row r="13" spans="1:15" ht="82.5" customHeight="1">
      <c r="A13" s="7" t="s">
        <v>460</v>
      </c>
      <c r="B13" s="113">
        <v>4050</v>
      </c>
      <c r="C13" s="82">
        <v>104</v>
      </c>
      <c r="D13" s="82"/>
      <c r="E13" s="82"/>
      <c r="F13" s="82"/>
      <c r="G13" s="84">
        <f t="shared" si="0"/>
        <v>0</v>
      </c>
      <c r="H13" s="277" t="e">
        <f t="shared" si="1"/>
        <v>#DIV/0!</v>
      </c>
    </row>
    <row r="14" spans="1:15" ht="53.25" customHeight="1">
      <c r="A14" s="7" t="s">
        <v>483</v>
      </c>
      <c r="B14" s="112">
        <v>4060</v>
      </c>
      <c r="C14" s="82"/>
      <c r="D14" s="82"/>
      <c r="E14" s="82"/>
      <c r="F14" s="82"/>
      <c r="G14" s="84">
        <f t="shared" si="0"/>
        <v>0</v>
      </c>
      <c r="H14" s="277" t="e">
        <f t="shared" si="1"/>
        <v>#DIV/0!</v>
      </c>
    </row>
    <row r="15" spans="1:15" ht="57.75" customHeight="1">
      <c r="A15" s="516" t="s">
        <v>365</v>
      </c>
      <c r="B15" s="516"/>
      <c r="C15" s="516"/>
      <c r="D15" s="516"/>
      <c r="E15" s="516"/>
      <c r="F15" s="516"/>
      <c r="G15" s="516"/>
      <c r="H15" s="516"/>
      <c r="I15" s="181"/>
      <c r="J15" s="181"/>
      <c r="K15" s="181"/>
    </row>
    <row r="16" spans="1:15" ht="43.5" customHeight="1">
      <c r="A16" s="496" t="s">
        <v>710</v>
      </c>
      <c r="B16" s="496"/>
      <c r="C16" s="496"/>
      <c r="D16" s="345"/>
      <c r="E16" s="346"/>
      <c r="F16" s="472" t="s">
        <v>489</v>
      </c>
      <c r="G16" s="472"/>
      <c r="H16" s="472"/>
    </row>
    <row r="17" spans="1:8" s="1" customFormat="1">
      <c r="A17" s="347" t="s">
        <v>67</v>
      </c>
      <c r="B17" s="348"/>
      <c r="C17" s="347"/>
      <c r="D17" s="347"/>
      <c r="E17" s="348"/>
      <c r="F17" s="467" t="s">
        <v>235</v>
      </c>
      <c r="G17" s="467"/>
      <c r="H17" s="467"/>
    </row>
    <row r="18" spans="1:8">
      <c r="A18" s="512" t="s">
        <v>553</v>
      </c>
      <c r="B18" s="512"/>
      <c r="C18" s="512"/>
      <c r="D18" s="95"/>
      <c r="E18" s="95"/>
      <c r="F18" s="95"/>
      <c r="G18" s="95"/>
      <c r="H18" s="95"/>
    </row>
    <row r="19" spans="1:8">
      <c r="A19" s="40"/>
    </row>
    <row r="20" spans="1:8">
      <c r="A20" s="40"/>
    </row>
    <row r="21" spans="1:8">
      <c r="A21" s="40"/>
    </row>
    <row r="22" spans="1:8">
      <c r="A22" s="40"/>
    </row>
    <row r="23" spans="1:8">
      <c r="A23" s="40"/>
    </row>
    <row r="24" spans="1:8">
      <c r="A24" s="40"/>
    </row>
    <row r="25" spans="1:8">
      <c r="A25" s="40"/>
    </row>
    <row r="26" spans="1:8">
      <c r="A26" s="40"/>
    </row>
    <row r="27" spans="1:8">
      <c r="A27" s="40"/>
    </row>
    <row r="28" spans="1:8">
      <c r="A28" s="40"/>
    </row>
    <row r="29" spans="1:8">
      <c r="A29" s="40"/>
    </row>
    <row r="30" spans="1:8">
      <c r="A30" s="40"/>
    </row>
    <row r="31" spans="1:8">
      <c r="A31" s="40"/>
    </row>
    <row r="32" spans="1:8">
      <c r="A32" s="40"/>
    </row>
    <row r="33" spans="1:1">
      <c r="A33" s="40"/>
    </row>
    <row r="34" spans="1:1">
      <c r="A34" s="40"/>
    </row>
    <row r="35" spans="1:1">
      <c r="A35" s="40"/>
    </row>
    <row r="36" spans="1:1">
      <c r="A36" s="40"/>
    </row>
    <row r="37" spans="1:1">
      <c r="A37" s="40"/>
    </row>
    <row r="38" spans="1:1">
      <c r="A38" s="40"/>
    </row>
    <row r="39" spans="1:1">
      <c r="A39" s="40"/>
    </row>
    <row r="40" spans="1:1">
      <c r="A40" s="40"/>
    </row>
    <row r="41" spans="1:1">
      <c r="A41" s="40"/>
    </row>
    <row r="42" spans="1:1">
      <c r="A42" s="40"/>
    </row>
    <row r="43" spans="1:1">
      <c r="A43" s="40"/>
    </row>
    <row r="44" spans="1:1">
      <c r="A44" s="40"/>
    </row>
    <row r="45" spans="1:1">
      <c r="A45" s="40"/>
    </row>
    <row r="46" spans="1:1">
      <c r="A46" s="40"/>
    </row>
    <row r="47" spans="1:1">
      <c r="A47" s="40"/>
    </row>
    <row r="48" spans="1:1">
      <c r="A48" s="40"/>
    </row>
    <row r="49" spans="1:1">
      <c r="A49" s="40"/>
    </row>
    <row r="50" spans="1:1">
      <c r="A50" s="40"/>
    </row>
    <row r="51" spans="1:1">
      <c r="A51" s="40"/>
    </row>
    <row r="52" spans="1:1">
      <c r="A52" s="40"/>
    </row>
    <row r="53" spans="1:1">
      <c r="A53" s="40"/>
    </row>
    <row r="54" spans="1:1">
      <c r="A54" s="40"/>
    </row>
    <row r="55" spans="1:1">
      <c r="A55" s="40"/>
    </row>
    <row r="56" spans="1:1">
      <c r="A56" s="40"/>
    </row>
    <row r="57" spans="1:1">
      <c r="A57" s="40"/>
    </row>
    <row r="58" spans="1:1">
      <c r="A58" s="40"/>
    </row>
    <row r="59" spans="1:1">
      <c r="A59" s="40"/>
    </row>
    <row r="60" spans="1:1">
      <c r="A60" s="40"/>
    </row>
    <row r="61" spans="1:1">
      <c r="A61" s="40"/>
    </row>
    <row r="62" spans="1:1">
      <c r="A62" s="40"/>
    </row>
    <row r="63" spans="1:1">
      <c r="A63" s="40"/>
    </row>
    <row r="64" spans="1:1">
      <c r="A64" s="40"/>
    </row>
    <row r="65" spans="1:1">
      <c r="A65" s="40"/>
    </row>
    <row r="66" spans="1:1">
      <c r="A66" s="40"/>
    </row>
    <row r="67" spans="1:1">
      <c r="A67" s="40"/>
    </row>
    <row r="68" spans="1:1">
      <c r="A68" s="40"/>
    </row>
    <row r="69" spans="1:1">
      <c r="A69" s="40"/>
    </row>
    <row r="70" spans="1:1">
      <c r="A70" s="40"/>
    </row>
    <row r="71" spans="1:1">
      <c r="A71" s="40"/>
    </row>
    <row r="72" spans="1:1">
      <c r="A72" s="40"/>
    </row>
    <row r="73" spans="1:1">
      <c r="A73" s="40"/>
    </row>
    <row r="74" spans="1:1">
      <c r="A74" s="40"/>
    </row>
    <row r="75" spans="1:1">
      <c r="A75" s="40"/>
    </row>
    <row r="76" spans="1:1">
      <c r="A76" s="40"/>
    </row>
    <row r="77" spans="1:1">
      <c r="A77" s="40"/>
    </row>
    <row r="78" spans="1:1">
      <c r="A78" s="40"/>
    </row>
    <row r="79" spans="1:1">
      <c r="A79" s="40"/>
    </row>
    <row r="80" spans="1:1">
      <c r="A80" s="40"/>
    </row>
    <row r="81" spans="1:1">
      <c r="A81" s="40"/>
    </row>
    <row r="82" spans="1:1">
      <c r="A82" s="40"/>
    </row>
    <row r="83" spans="1:1">
      <c r="A83" s="40"/>
    </row>
    <row r="84" spans="1:1">
      <c r="A84" s="40"/>
    </row>
    <row r="85" spans="1:1">
      <c r="A85" s="40"/>
    </row>
    <row r="86" spans="1:1">
      <c r="A86" s="40"/>
    </row>
    <row r="87" spans="1:1">
      <c r="A87" s="40"/>
    </row>
    <row r="88" spans="1:1">
      <c r="A88" s="40"/>
    </row>
    <row r="89" spans="1:1">
      <c r="A89" s="40"/>
    </row>
    <row r="90" spans="1:1">
      <c r="A90" s="40"/>
    </row>
    <row r="91" spans="1:1">
      <c r="A91" s="40"/>
    </row>
    <row r="92" spans="1:1">
      <c r="A92" s="40"/>
    </row>
    <row r="93" spans="1:1">
      <c r="A93" s="40"/>
    </row>
    <row r="94" spans="1:1">
      <c r="A94" s="40"/>
    </row>
    <row r="95" spans="1:1">
      <c r="A95" s="40"/>
    </row>
    <row r="96" spans="1:1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</sheetData>
  <mergeCells count="11">
    <mergeCell ref="A18:C18"/>
    <mergeCell ref="A3:H3"/>
    <mergeCell ref="B5:B6"/>
    <mergeCell ref="A4:H4"/>
    <mergeCell ref="F17:H17"/>
    <mergeCell ref="E5:H5"/>
    <mergeCell ref="F16:H16"/>
    <mergeCell ref="A5:A6"/>
    <mergeCell ref="A15:H15"/>
    <mergeCell ref="C5:D5"/>
    <mergeCell ref="A16:C16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5"/>
  <sheetViews>
    <sheetView view="pageBreakPreview" zoomScale="75" zoomScaleNormal="100" zoomScaleSheetLayoutView="75" workbookViewId="0">
      <selection activeCell="D12" sqref="D12"/>
    </sheetView>
  </sheetViews>
  <sheetFormatPr defaultRowHeight="12.75"/>
  <cols>
    <col min="1" max="1" width="37.85546875" style="26" customWidth="1"/>
    <col min="2" max="2" width="6" style="26" customWidth="1"/>
    <col min="3" max="3" width="15.140625" style="26" customWidth="1"/>
    <col min="4" max="5" width="14.7109375" style="26" customWidth="1"/>
    <col min="6" max="6" width="13.85546875" style="26" customWidth="1"/>
    <col min="7" max="7" width="14" style="26" customWidth="1"/>
    <col min="8" max="8" width="14.85546875" style="26" customWidth="1"/>
    <col min="9" max="9" width="19.85546875" style="26" customWidth="1"/>
    <col min="10" max="10" width="9.5703125" style="26" customWidth="1"/>
    <col min="11" max="11" width="9.140625" style="26"/>
    <col min="12" max="12" width="27.140625" style="26" customWidth="1"/>
    <col min="13" max="16384" width="9.140625" style="26"/>
  </cols>
  <sheetData>
    <row r="1" spans="1:9" ht="30" customHeight="1">
      <c r="A1" s="519" t="s">
        <v>156</v>
      </c>
      <c r="B1" s="519"/>
      <c r="C1" s="519"/>
      <c r="D1" s="519"/>
      <c r="E1" s="519"/>
      <c r="F1" s="519"/>
      <c r="G1" s="519"/>
      <c r="H1" s="519"/>
      <c r="I1" s="519"/>
    </row>
    <row r="2" spans="1:9" ht="9.75" customHeight="1"/>
    <row r="3" spans="1:9" ht="63.75" customHeight="1">
      <c r="A3" s="520" t="s">
        <v>202</v>
      </c>
      <c r="B3" s="522" t="s">
        <v>1</v>
      </c>
      <c r="C3" s="520" t="s">
        <v>83</v>
      </c>
      <c r="D3" s="517" t="s">
        <v>478</v>
      </c>
      <c r="E3" s="518"/>
      <c r="F3" s="466" t="s">
        <v>477</v>
      </c>
      <c r="G3" s="466"/>
      <c r="H3" s="466"/>
      <c r="I3" s="520" t="s">
        <v>229</v>
      </c>
    </row>
    <row r="4" spans="1:9" ht="59.25" customHeight="1">
      <c r="A4" s="521"/>
      <c r="B4" s="523"/>
      <c r="C4" s="521"/>
      <c r="D4" s="259" t="s">
        <v>475</v>
      </c>
      <c r="E4" s="6" t="s">
        <v>476</v>
      </c>
      <c r="F4" s="47" t="s">
        <v>186</v>
      </c>
      <c r="G4" s="47" t="s">
        <v>176</v>
      </c>
      <c r="H4" s="47" t="s">
        <v>197</v>
      </c>
      <c r="I4" s="521"/>
    </row>
    <row r="5" spans="1:9" s="45" customFormat="1" ht="13.5" customHeight="1">
      <c r="A5" s="114">
        <v>1</v>
      </c>
      <c r="B5" s="114">
        <v>2</v>
      </c>
      <c r="C5" s="114">
        <v>3</v>
      </c>
      <c r="D5" s="114">
        <v>4</v>
      </c>
      <c r="E5" s="114"/>
      <c r="F5" s="114">
        <v>5</v>
      </c>
      <c r="G5" s="114">
        <v>6</v>
      </c>
      <c r="H5" s="114">
        <v>7</v>
      </c>
      <c r="I5" s="114">
        <v>8</v>
      </c>
    </row>
    <row r="6" spans="1:9" s="45" customFormat="1" ht="52.5" customHeight="1">
      <c r="A6" s="140" t="s">
        <v>132</v>
      </c>
      <c r="B6" s="44"/>
      <c r="C6" s="33"/>
      <c r="D6" s="33"/>
      <c r="E6" s="33"/>
      <c r="F6" s="33"/>
      <c r="G6" s="33"/>
      <c r="H6" s="33"/>
      <c r="I6" s="33"/>
    </row>
    <row r="7" spans="1:9" ht="107.25" customHeight="1">
      <c r="A7" s="69" t="s">
        <v>272</v>
      </c>
      <c r="B7" s="88">
        <v>5000</v>
      </c>
      <c r="C7" s="80" t="s">
        <v>247</v>
      </c>
      <c r="D7" s="318">
        <f>'1. Фін результат'!C70/'Осн фін показн (кварт)'!C48</f>
        <v>3.4830126353051446E-3</v>
      </c>
      <c r="E7" s="318">
        <f>'1. Фін результат'!D70/'Осн фін показн (кварт)'!D48</f>
        <v>1.0032695002335357E-2</v>
      </c>
      <c r="F7" s="318">
        <f>'1. Фін результат'!E70/'Осн фін показн (кварт)'!E48</f>
        <v>9.2729550872336285E-5</v>
      </c>
      <c r="G7" s="318">
        <f>'1. Фін результат'!F70/'Осн фін показн (кварт)'!F48</f>
        <v>-3.7178888369920598E-3</v>
      </c>
      <c r="H7" s="68">
        <f>G7-F7</f>
        <v>-3.810618387864396E-3</v>
      </c>
      <c r="I7" s="70" t="s">
        <v>248</v>
      </c>
    </row>
    <row r="8" spans="1:9" ht="126" customHeight="1">
      <c r="A8" s="188" t="s">
        <v>255</v>
      </c>
      <c r="B8" s="88">
        <v>5010</v>
      </c>
      <c r="C8" s="80" t="s">
        <v>84</v>
      </c>
      <c r="D8" s="318">
        <f>'Осн фін показн (кварт)'!C24/'Осн фін показн (кварт)'!C13</f>
        <v>3.1395468061109405E-2</v>
      </c>
      <c r="E8" s="318">
        <f>'Осн фін показн (кварт)'!D24/'Осн фін показн (кварт)'!D13</f>
        <v>1.112861109959796E-2</v>
      </c>
      <c r="F8" s="318">
        <f>'Осн фін показн (кварт)'!E24/'Осн фін показн (кварт)'!E13</f>
        <v>3.579223046704496E-3</v>
      </c>
      <c r="G8" s="318">
        <f>'Осн фін показн (кварт)'!F24/'Осн фін показн (кварт)'!F13</f>
        <v>-1.6517264276228419E-2</v>
      </c>
      <c r="H8" s="68">
        <f>G8-F8</f>
        <v>-2.0096487322932916E-2</v>
      </c>
      <c r="I8" s="70" t="s">
        <v>249</v>
      </c>
    </row>
    <row r="9" spans="1:9" ht="50.25" customHeight="1">
      <c r="A9" s="140" t="s">
        <v>133</v>
      </c>
      <c r="B9" s="88"/>
      <c r="C9" s="81"/>
      <c r="D9" s="68"/>
      <c r="E9" s="68"/>
      <c r="F9" s="68"/>
      <c r="G9" s="68"/>
      <c r="H9" s="68"/>
      <c r="I9" s="70"/>
    </row>
    <row r="10" spans="1:9" ht="132" customHeight="1">
      <c r="A10" s="69" t="s">
        <v>273</v>
      </c>
      <c r="B10" s="88">
        <v>5100</v>
      </c>
      <c r="C10" s="80" t="s">
        <v>129</v>
      </c>
      <c r="D10" s="335">
        <f>'Осн фін показн (кварт)'!C54/('Осн фін показн (кварт)'!C49+'Осн фін показн (кварт)'!C50)</f>
        <v>135.21382088627209</v>
      </c>
      <c r="E10" s="334">
        <f>'Осн фін показн (кварт)'!D54/('Осн фін показн (кварт)'!D49+'Осн фін показн (кварт)'!D50)</f>
        <v>15.195158850226928</v>
      </c>
      <c r="F10" s="319">
        <f>'Осн фін показн (кварт)'!E54/('Осн фін показн (кварт)'!E49+'Осн фін показн (кварт)'!E50)</f>
        <v>126.23478260869565</v>
      </c>
      <c r="G10" s="334">
        <f>'Осн фін показн (кварт)'!F54/('Осн фін показн (кварт)'!F49+'Осн фін показн (кварт)'!F50)</f>
        <v>15.195158850226928</v>
      </c>
      <c r="H10" s="319">
        <f>G10-F10</f>
        <v>-111.03962375846872</v>
      </c>
      <c r="I10" s="152" t="s">
        <v>250</v>
      </c>
    </row>
    <row r="11" spans="1:9" ht="192" customHeight="1">
      <c r="A11" s="69" t="s">
        <v>274</v>
      </c>
      <c r="B11" s="88">
        <v>5110</v>
      </c>
      <c r="C11" s="80" t="s">
        <v>129</v>
      </c>
      <c r="D11" s="334">
        <f>'Осн фін показн (кварт)'!C46/'Осн фін показн (кварт)'!C50</f>
        <v>3.1106032906764169</v>
      </c>
      <c r="E11" s="319">
        <f>'Осн фін показн (кварт)'!D46/'Осн фін показн (кварт)'!D50</f>
        <v>3.4541062801932365</v>
      </c>
      <c r="F11" s="319">
        <f>'Осн фін показн (кварт)'!E46/'Осн фін показн (кварт)'!E50</f>
        <v>3.3</v>
      </c>
      <c r="G11" s="333">
        <f>'Осн фін показн (кварт)'!F46/'Осн фін показн (кварт)'!F50</f>
        <v>3.4541062801932365</v>
      </c>
      <c r="H11" s="319">
        <f>G11-F11</f>
        <v>0.15410628019323669</v>
      </c>
      <c r="I11" s="152" t="s">
        <v>251</v>
      </c>
    </row>
    <row r="12" spans="1:9" ht="169.5" customHeight="1">
      <c r="A12" s="10" t="s">
        <v>463</v>
      </c>
      <c r="B12" s="229">
        <v>5120</v>
      </c>
      <c r="C12" s="80" t="s">
        <v>129</v>
      </c>
      <c r="D12" s="320">
        <f>'Осн фін показн (кварт)'!C14/'Осн фін показн (кварт)'!C48</f>
        <v>-8.4481825089520929E-2</v>
      </c>
      <c r="E12" s="320">
        <f>'Осн фін показн (кварт)'!D14/'Осн фін показн (кварт)'!D48</f>
        <v>-0.75949556282111164</v>
      </c>
      <c r="F12" s="320">
        <f>'Осн фін показн (кварт)'!E14/'Осн фін показн (кварт)'!E48</f>
        <v>-2.2137483998498235E-2</v>
      </c>
      <c r="G12" s="320">
        <f>'Осн фін показн (кварт)'!F14/'Осн фін показн (кварт)'!F48</f>
        <v>-0.19923400280242878</v>
      </c>
      <c r="H12" s="319">
        <f>G12-F12</f>
        <v>-0.17709651880393054</v>
      </c>
      <c r="I12" s="10" t="s">
        <v>360</v>
      </c>
    </row>
    <row r="13" spans="1:9" s="2" customFormat="1" ht="41.25" customHeight="1">
      <c r="A13" s="526" t="s">
        <v>709</v>
      </c>
      <c r="B13" s="526"/>
      <c r="C13" s="526"/>
      <c r="D13" s="526"/>
      <c r="E13" s="150"/>
      <c r="F13" s="94"/>
      <c r="G13" s="525" t="s">
        <v>489</v>
      </c>
      <c r="H13" s="525"/>
      <c r="I13" s="525"/>
    </row>
    <row r="14" spans="1:9" s="1" customFormat="1" ht="18.75">
      <c r="A14" s="110"/>
      <c r="B14" s="111"/>
      <c r="C14" s="487"/>
      <c r="D14" s="487"/>
      <c r="E14" s="253"/>
      <c r="F14" s="111"/>
      <c r="G14" s="497" t="s">
        <v>712</v>
      </c>
      <c r="H14" s="497"/>
      <c r="I14" s="497"/>
    </row>
    <row r="15" spans="1:9" ht="30" customHeight="1">
      <c r="A15" s="524" t="s">
        <v>553</v>
      </c>
      <c r="B15" s="524"/>
      <c r="C15" s="524"/>
    </row>
  </sheetData>
  <mergeCells count="12">
    <mergeCell ref="A15:C15"/>
    <mergeCell ref="D3:E3"/>
    <mergeCell ref="G13:I13"/>
    <mergeCell ref="C14:D14"/>
    <mergeCell ref="G14:I14"/>
    <mergeCell ref="A13:D13"/>
    <mergeCell ref="A1:I1"/>
    <mergeCell ref="A3:A4"/>
    <mergeCell ref="B3:B4"/>
    <mergeCell ref="C3:C4"/>
    <mergeCell ref="I3:I4"/>
    <mergeCell ref="F3:H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86"/>
  <sheetViews>
    <sheetView view="pageBreakPreview" topLeftCell="A7" zoomScale="60" zoomScaleNormal="75" workbookViewId="0">
      <selection activeCell="J13" sqref="J13:K16"/>
    </sheetView>
  </sheetViews>
  <sheetFormatPr defaultRowHeight="18.75" outlineLevelRow="1"/>
  <cols>
    <col min="1" max="1" width="43.42578125" style="1" customWidth="1"/>
    <col min="2" max="2" width="10.140625" style="17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3.28515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529" t="s">
        <v>171</v>
      </c>
      <c r="O1" s="529"/>
    </row>
    <row r="2" spans="1:15" hidden="1" outlineLevel="1">
      <c r="N2" s="529" t="s">
        <v>184</v>
      </c>
      <c r="O2" s="529"/>
    </row>
    <row r="3" spans="1:15" ht="24.75" customHeight="1" collapsed="1">
      <c r="A3" s="530" t="s">
        <v>90</v>
      </c>
      <c r="B3" s="530"/>
      <c r="C3" s="530"/>
      <c r="D3" s="530"/>
      <c r="E3" s="530"/>
      <c r="F3" s="530"/>
      <c r="G3" s="530"/>
      <c r="H3" s="530"/>
      <c r="I3" s="530"/>
      <c r="J3" s="530"/>
      <c r="K3" s="530"/>
      <c r="L3" s="530"/>
      <c r="M3" s="530"/>
      <c r="N3" s="530"/>
      <c r="O3" s="530"/>
    </row>
    <row r="4" spans="1:15" ht="23.25" customHeight="1">
      <c r="A4" s="530" t="s">
        <v>867</v>
      </c>
      <c r="B4" s="530"/>
      <c r="C4" s="530"/>
      <c r="D4" s="530"/>
      <c r="E4" s="530"/>
      <c r="F4" s="530"/>
      <c r="G4" s="530"/>
      <c r="H4" s="530"/>
      <c r="I4" s="530"/>
      <c r="J4" s="530"/>
      <c r="K4" s="530"/>
      <c r="L4" s="530"/>
      <c r="M4" s="530"/>
      <c r="N4" s="530"/>
      <c r="O4" s="530"/>
    </row>
    <row r="5" spans="1:15" ht="14.25" customHeight="1">
      <c r="A5" s="475" t="s">
        <v>493</v>
      </c>
      <c r="B5" s="475"/>
      <c r="C5" s="475"/>
      <c r="D5" s="475"/>
      <c r="E5" s="475"/>
      <c r="F5" s="475"/>
      <c r="G5" s="475"/>
      <c r="H5" s="475"/>
      <c r="I5" s="475"/>
      <c r="J5" s="475"/>
      <c r="K5" s="475"/>
      <c r="L5" s="475"/>
      <c r="M5" s="475"/>
      <c r="N5" s="475"/>
      <c r="O5" s="475"/>
    </row>
    <row r="6" spans="1:15" ht="15" customHeight="1">
      <c r="A6" s="531" t="s">
        <v>99</v>
      </c>
      <c r="B6" s="531"/>
      <c r="C6" s="531"/>
      <c r="D6" s="531"/>
      <c r="E6" s="531"/>
      <c r="F6" s="531"/>
      <c r="G6" s="531"/>
      <c r="H6" s="531"/>
      <c r="I6" s="531"/>
      <c r="J6" s="531"/>
      <c r="K6" s="531"/>
      <c r="L6" s="531"/>
      <c r="M6" s="531"/>
      <c r="N6" s="531"/>
      <c r="O6" s="531"/>
    </row>
    <row r="7" spans="1:15" ht="21" customHeight="1">
      <c r="A7" s="527" t="s">
        <v>77</v>
      </c>
      <c r="B7" s="527"/>
      <c r="C7" s="527"/>
      <c r="D7" s="527"/>
      <c r="E7" s="527"/>
      <c r="F7" s="527"/>
      <c r="G7" s="527"/>
      <c r="H7" s="527"/>
      <c r="I7" s="527"/>
      <c r="J7" s="527"/>
      <c r="K7" s="527"/>
      <c r="L7" s="527"/>
      <c r="M7" s="527"/>
      <c r="N7" s="527"/>
      <c r="O7" s="527"/>
    </row>
    <row r="8" spans="1:15" ht="3.75" customHeight="1">
      <c r="A8" s="361"/>
      <c r="B8" s="361"/>
      <c r="C8" s="361"/>
      <c r="D8" s="361"/>
      <c r="E8" s="361"/>
      <c r="F8" s="361"/>
      <c r="G8" s="361"/>
      <c r="H8" s="361"/>
      <c r="I8" s="361"/>
      <c r="J8" s="361"/>
      <c r="K8" s="361"/>
      <c r="L8" s="361"/>
      <c r="M8" s="361"/>
      <c r="N8" s="361"/>
      <c r="O8" s="361"/>
    </row>
    <row r="9" spans="1:15" ht="23.25" customHeight="1">
      <c r="A9" s="528" t="s">
        <v>230</v>
      </c>
      <c r="B9" s="528"/>
      <c r="C9" s="528"/>
      <c r="D9" s="528"/>
      <c r="E9" s="528"/>
      <c r="F9" s="528"/>
      <c r="G9" s="528"/>
      <c r="H9" s="528"/>
      <c r="I9" s="528"/>
      <c r="J9" s="528"/>
      <c r="K9" s="528"/>
      <c r="L9" s="528"/>
      <c r="M9" s="528"/>
      <c r="N9" s="528"/>
      <c r="O9" s="528"/>
    </row>
    <row r="10" spans="1:15" ht="4.5" customHeight="1">
      <c r="A10" s="362"/>
      <c r="B10" s="362"/>
      <c r="C10" s="362"/>
      <c r="D10" s="362"/>
      <c r="E10" s="362"/>
      <c r="F10" s="362"/>
      <c r="G10" s="362"/>
      <c r="H10" s="362"/>
      <c r="I10" s="362"/>
      <c r="J10" s="362"/>
      <c r="K10" s="362"/>
      <c r="L10" s="362"/>
      <c r="M10" s="362"/>
      <c r="N10" s="362"/>
      <c r="O10" s="362"/>
    </row>
    <row r="11" spans="1:15" s="2" customFormat="1" ht="46.5" customHeight="1">
      <c r="A11" s="356" t="s">
        <v>202</v>
      </c>
      <c r="B11" s="466" t="s">
        <v>101</v>
      </c>
      <c r="C11" s="466"/>
      <c r="D11" s="466" t="s">
        <v>25</v>
      </c>
      <c r="E11" s="466"/>
      <c r="F11" s="466" t="s">
        <v>231</v>
      </c>
      <c r="G11" s="466"/>
      <c r="H11" s="466" t="s">
        <v>232</v>
      </c>
      <c r="I11" s="466"/>
      <c r="J11" s="466" t="s">
        <v>233</v>
      </c>
      <c r="K11" s="466"/>
      <c r="L11" s="466" t="s">
        <v>207</v>
      </c>
      <c r="M11" s="466"/>
      <c r="N11" s="466" t="s">
        <v>208</v>
      </c>
      <c r="O11" s="466"/>
    </row>
    <row r="12" spans="1:15" s="2" customFormat="1" ht="12.75" customHeight="1">
      <c r="A12" s="355">
        <v>1</v>
      </c>
      <c r="B12" s="538">
        <v>2</v>
      </c>
      <c r="C12" s="539"/>
      <c r="D12" s="538">
        <v>3</v>
      </c>
      <c r="E12" s="539"/>
      <c r="F12" s="538">
        <v>4</v>
      </c>
      <c r="G12" s="539"/>
      <c r="H12" s="538">
        <v>5</v>
      </c>
      <c r="I12" s="539"/>
      <c r="J12" s="538">
        <v>6</v>
      </c>
      <c r="K12" s="539"/>
      <c r="L12" s="538">
        <v>7</v>
      </c>
      <c r="M12" s="539"/>
      <c r="N12" s="464">
        <v>8</v>
      </c>
      <c r="O12" s="464"/>
    </row>
    <row r="13" spans="1:15" s="2" customFormat="1" ht="38.25" customHeight="1">
      <c r="A13" s="359" t="s">
        <v>100</v>
      </c>
      <c r="B13" s="532">
        <v>330</v>
      </c>
      <c r="C13" s="532"/>
      <c r="D13" s="532">
        <v>242</v>
      </c>
      <c r="E13" s="532"/>
      <c r="F13" s="532">
        <v>276</v>
      </c>
      <c r="G13" s="532"/>
      <c r="H13" s="532">
        <v>276</v>
      </c>
      <c r="I13" s="532"/>
      <c r="J13" s="532">
        <v>238</v>
      </c>
      <c r="K13" s="532"/>
      <c r="L13" s="533">
        <f>J13-H13</f>
        <v>-38</v>
      </c>
      <c r="M13" s="533"/>
      <c r="N13" s="534">
        <f>J13/H13*100</f>
        <v>86.231884057971016</v>
      </c>
      <c r="O13" s="534"/>
    </row>
    <row r="14" spans="1:15" s="2" customFormat="1" ht="24" customHeight="1">
      <c r="A14" s="368" t="s">
        <v>210</v>
      </c>
      <c r="B14" s="532">
        <v>1</v>
      </c>
      <c r="C14" s="532"/>
      <c r="D14" s="532">
        <v>1</v>
      </c>
      <c r="E14" s="532"/>
      <c r="F14" s="532">
        <v>1</v>
      </c>
      <c r="G14" s="532"/>
      <c r="H14" s="532">
        <v>1</v>
      </c>
      <c r="I14" s="532"/>
      <c r="J14" s="532">
        <v>1</v>
      </c>
      <c r="K14" s="532"/>
      <c r="L14" s="533">
        <f t="shared" ref="L14:L32" si="0">J14-H14</f>
        <v>0</v>
      </c>
      <c r="M14" s="533"/>
      <c r="N14" s="534">
        <f t="shared" ref="N14:N32" si="1">J14/H14*100</f>
        <v>100</v>
      </c>
      <c r="O14" s="534"/>
    </row>
    <row r="15" spans="1:15" s="2" customFormat="1" ht="33.75" customHeight="1">
      <c r="A15" s="368" t="s">
        <v>209</v>
      </c>
      <c r="B15" s="532">
        <v>30</v>
      </c>
      <c r="C15" s="532"/>
      <c r="D15" s="532">
        <v>23</v>
      </c>
      <c r="E15" s="532"/>
      <c r="F15" s="532">
        <v>28</v>
      </c>
      <c r="G15" s="532"/>
      <c r="H15" s="532">
        <v>28</v>
      </c>
      <c r="I15" s="532"/>
      <c r="J15" s="532">
        <v>23</v>
      </c>
      <c r="K15" s="532"/>
      <c r="L15" s="533">
        <f t="shared" si="0"/>
        <v>-5</v>
      </c>
      <c r="M15" s="533"/>
      <c r="N15" s="534">
        <f t="shared" si="1"/>
        <v>82.142857142857139</v>
      </c>
      <c r="O15" s="534"/>
    </row>
    <row r="16" spans="1:15" s="2" customFormat="1" ht="27" customHeight="1" thickBot="1">
      <c r="A16" s="281" t="s">
        <v>211</v>
      </c>
      <c r="B16" s="535">
        <f>B13-B14-B15</f>
        <v>299</v>
      </c>
      <c r="C16" s="535"/>
      <c r="D16" s="535">
        <f>D13-D14-D15</f>
        <v>218</v>
      </c>
      <c r="E16" s="535"/>
      <c r="F16" s="535">
        <f>F13-F14-F15</f>
        <v>247</v>
      </c>
      <c r="G16" s="535"/>
      <c r="H16" s="535">
        <f>H13-H14-H15</f>
        <v>247</v>
      </c>
      <c r="I16" s="535"/>
      <c r="J16" s="535">
        <f>J13-J14-J15</f>
        <v>214</v>
      </c>
      <c r="K16" s="535"/>
      <c r="L16" s="552">
        <f t="shared" si="0"/>
        <v>-33</v>
      </c>
      <c r="M16" s="552"/>
      <c r="N16" s="553">
        <f t="shared" si="1"/>
        <v>86.639676113360323</v>
      </c>
      <c r="O16" s="553"/>
    </row>
    <row r="17" spans="1:15" s="2" customFormat="1" ht="35.25" customHeight="1">
      <c r="A17" s="283" t="s">
        <v>239</v>
      </c>
      <c r="B17" s="540">
        <f>SUM(B18:C20)</f>
        <v>4187</v>
      </c>
      <c r="C17" s="540"/>
      <c r="D17" s="540">
        <f>20529-5480-4955-4637</f>
        <v>5457</v>
      </c>
      <c r="E17" s="540"/>
      <c r="F17" s="540">
        <v>23396</v>
      </c>
      <c r="G17" s="540"/>
      <c r="H17" s="540">
        <f>SUM(H18:I20)</f>
        <v>5849</v>
      </c>
      <c r="I17" s="540"/>
      <c r="J17" s="540">
        <v>6157</v>
      </c>
      <c r="K17" s="540"/>
      <c r="L17" s="537">
        <f t="shared" si="0"/>
        <v>308</v>
      </c>
      <c r="M17" s="537"/>
      <c r="N17" s="584">
        <f t="shared" si="1"/>
        <v>105.26585741152334</v>
      </c>
      <c r="O17" s="585"/>
    </row>
    <row r="18" spans="1:15" s="2" customFormat="1" ht="23.25" customHeight="1">
      <c r="A18" s="284" t="s">
        <v>210</v>
      </c>
      <c r="B18" s="532">
        <v>60</v>
      </c>
      <c r="C18" s="532"/>
      <c r="D18" s="532">
        <f>338-78-78-70</f>
        <v>112</v>
      </c>
      <c r="E18" s="532"/>
      <c r="F18" s="532">
        <v>339</v>
      </c>
      <c r="G18" s="532"/>
      <c r="H18" s="532">
        <f>F18/4</f>
        <v>84.75</v>
      </c>
      <c r="I18" s="532"/>
      <c r="J18" s="532">
        <v>89</v>
      </c>
      <c r="K18" s="532"/>
      <c r="L18" s="533">
        <f t="shared" si="0"/>
        <v>4.25</v>
      </c>
      <c r="M18" s="533"/>
      <c r="N18" s="534">
        <f t="shared" si="1"/>
        <v>105.01474926253687</v>
      </c>
      <c r="O18" s="536"/>
    </row>
    <row r="19" spans="1:15" s="2" customFormat="1" ht="33.75" customHeight="1">
      <c r="A19" s="284" t="s">
        <v>209</v>
      </c>
      <c r="B19" s="532">
        <v>752</v>
      </c>
      <c r="C19" s="532"/>
      <c r="D19" s="532">
        <f>3982-1057-1057-887</f>
        <v>981</v>
      </c>
      <c r="E19" s="532"/>
      <c r="F19" s="532">
        <v>4165</v>
      </c>
      <c r="G19" s="532"/>
      <c r="H19" s="532">
        <f>F19/4</f>
        <v>1041.25</v>
      </c>
      <c r="I19" s="532"/>
      <c r="J19" s="532">
        <f>1158-J18</f>
        <v>1069</v>
      </c>
      <c r="K19" s="532"/>
      <c r="L19" s="533">
        <f t="shared" si="0"/>
        <v>27.75</v>
      </c>
      <c r="M19" s="533"/>
      <c r="N19" s="534">
        <f t="shared" si="1"/>
        <v>102.66506602641057</v>
      </c>
      <c r="O19" s="536"/>
    </row>
    <row r="20" spans="1:15" s="2" customFormat="1" ht="24" customHeight="1" thickBot="1">
      <c r="A20" s="285" t="s">
        <v>211</v>
      </c>
      <c r="B20" s="583">
        <v>3375</v>
      </c>
      <c r="C20" s="583"/>
      <c r="D20" s="583">
        <f>16209-4345-3820-3680</f>
        <v>4364</v>
      </c>
      <c r="E20" s="583"/>
      <c r="F20" s="583">
        <f>F17-F18-F19</f>
        <v>18892</v>
      </c>
      <c r="G20" s="583"/>
      <c r="H20" s="532">
        <f>F20/4</f>
        <v>4723</v>
      </c>
      <c r="I20" s="532"/>
      <c r="J20" s="583">
        <f>J17-J18-J19</f>
        <v>4999</v>
      </c>
      <c r="K20" s="583"/>
      <c r="L20" s="587">
        <f t="shared" si="0"/>
        <v>276</v>
      </c>
      <c r="M20" s="587"/>
      <c r="N20" s="589">
        <f t="shared" si="1"/>
        <v>105.84374338344273</v>
      </c>
      <c r="O20" s="590"/>
    </row>
    <row r="21" spans="1:15" s="2" customFormat="1" ht="36.75" customHeight="1">
      <c r="A21" s="282" t="s">
        <v>240</v>
      </c>
      <c r="B21" s="571">
        <f>SUM(B22:C24)</f>
        <v>4157</v>
      </c>
      <c r="C21" s="571"/>
      <c r="D21" s="571">
        <f>D22+D23+D24</f>
        <v>5457</v>
      </c>
      <c r="E21" s="571"/>
      <c r="F21" s="571">
        <v>23396</v>
      </c>
      <c r="G21" s="571"/>
      <c r="H21" s="571">
        <f>SUM(H22:I24)</f>
        <v>5849</v>
      </c>
      <c r="I21" s="571"/>
      <c r="J21" s="571">
        <v>6157</v>
      </c>
      <c r="K21" s="571"/>
      <c r="L21" s="588">
        <f t="shared" si="0"/>
        <v>308</v>
      </c>
      <c r="M21" s="588"/>
      <c r="N21" s="586">
        <f t="shared" si="1"/>
        <v>105.26585741152334</v>
      </c>
      <c r="O21" s="586"/>
    </row>
    <row r="22" spans="1:15" s="2" customFormat="1" ht="26.25" customHeight="1">
      <c r="A22" s="368" t="s">
        <v>210</v>
      </c>
      <c r="B22" s="532">
        <v>60</v>
      </c>
      <c r="C22" s="532"/>
      <c r="D22" s="532">
        <f>338-78-78-70</f>
        <v>112</v>
      </c>
      <c r="E22" s="532"/>
      <c r="F22" s="532">
        <v>339</v>
      </c>
      <c r="G22" s="532"/>
      <c r="H22" s="532">
        <f>F22/4</f>
        <v>84.75</v>
      </c>
      <c r="I22" s="532"/>
      <c r="J22" s="532">
        <v>89</v>
      </c>
      <c r="K22" s="532"/>
      <c r="L22" s="533">
        <f t="shared" si="0"/>
        <v>4.25</v>
      </c>
      <c r="M22" s="533"/>
      <c r="N22" s="534">
        <f t="shared" si="1"/>
        <v>105.01474926253687</v>
      </c>
      <c r="O22" s="534"/>
    </row>
    <row r="23" spans="1:15" s="2" customFormat="1" ht="36" customHeight="1">
      <c r="A23" s="368" t="s">
        <v>209</v>
      </c>
      <c r="B23" s="532">
        <v>752</v>
      </c>
      <c r="C23" s="532"/>
      <c r="D23" s="532">
        <f>3982-1057-1057-887</f>
        <v>981</v>
      </c>
      <c r="E23" s="532"/>
      <c r="F23" s="532">
        <v>4165</v>
      </c>
      <c r="G23" s="532"/>
      <c r="H23" s="532">
        <f>F23/4</f>
        <v>1041.25</v>
      </c>
      <c r="I23" s="532"/>
      <c r="J23" s="532">
        <f>1158-J22</f>
        <v>1069</v>
      </c>
      <c r="K23" s="532"/>
      <c r="L23" s="533">
        <f t="shared" si="0"/>
        <v>27.75</v>
      </c>
      <c r="M23" s="533"/>
      <c r="N23" s="534">
        <f t="shared" si="1"/>
        <v>102.66506602641057</v>
      </c>
      <c r="O23" s="534"/>
    </row>
    <row r="24" spans="1:15" s="2" customFormat="1" ht="24" customHeight="1" thickBot="1">
      <c r="A24" s="281" t="s">
        <v>211</v>
      </c>
      <c r="B24" s="535">
        <v>3345</v>
      </c>
      <c r="C24" s="535"/>
      <c r="D24" s="583">
        <f>16209-4345-3820-3680</f>
        <v>4364</v>
      </c>
      <c r="E24" s="583"/>
      <c r="F24" s="535">
        <f>F21-F22-F23</f>
        <v>18892</v>
      </c>
      <c r="G24" s="535"/>
      <c r="H24" s="535">
        <f>F24/4</f>
        <v>4723</v>
      </c>
      <c r="I24" s="535"/>
      <c r="J24" s="535">
        <f>J21-J22-J23</f>
        <v>4999</v>
      </c>
      <c r="K24" s="535"/>
      <c r="L24" s="552">
        <f t="shared" si="0"/>
        <v>276</v>
      </c>
      <c r="M24" s="552"/>
      <c r="N24" s="553">
        <f t="shared" si="1"/>
        <v>105.84374338344273</v>
      </c>
      <c r="O24" s="553"/>
    </row>
    <row r="25" spans="1:15" s="2" customFormat="1" ht="34.5" customHeight="1">
      <c r="A25" s="283" t="s">
        <v>212</v>
      </c>
      <c r="B25" s="540">
        <f>B17/B13/3*1000</f>
        <v>4229.2929292929293</v>
      </c>
      <c r="C25" s="540"/>
      <c r="D25" s="540">
        <f>D17/D13/3*1000</f>
        <v>7516.5289256198339</v>
      </c>
      <c r="E25" s="540"/>
      <c r="F25" s="540">
        <f>F17/F13/12*1000</f>
        <v>7064.0096618357484</v>
      </c>
      <c r="G25" s="540"/>
      <c r="H25" s="591">
        <f>H17/H13/3*1000</f>
        <v>7064.0096618357484</v>
      </c>
      <c r="I25" s="591"/>
      <c r="J25" s="540">
        <f>J17/J13/3*1000</f>
        <v>8623.2492997198879</v>
      </c>
      <c r="K25" s="540"/>
      <c r="L25" s="537">
        <f t="shared" si="0"/>
        <v>1559.2396378841395</v>
      </c>
      <c r="M25" s="537"/>
      <c r="N25" s="584">
        <f t="shared" si="1"/>
        <v>122.07301111588423</v>
      </c>
      <c r="O25" s="585"/>
    </row>
    <row r="26" spans="1:15" s="2" customFormat="1" ht="24" customHeight="1">
      <c r="A26" s="284" t="s">
        <v>210</v>
      </c>
      <c r="B26" s="532">
        <f>B18/B14/3*1000</f>
        <v>20000</v>
      </c>
      <c r="C26" s="532"/>
      <c r="D26" s="532">
        <f>D18/D14/3*1000</f>
        <v>37333.333333333336</v>
      </c>
      <c r="E26" s="532"/>
      <c r="F26" s="532">
        <f>F18/F14/12*1000</f>
        <v>28250</v>
      </c>
      <c r="G26" s="532"/>
      <c r="H26" s="532">
        <f>H18/H14/3*1000</f>
        <v>28250</v>
      </c>
      <c r="I26" s="532"/>
      <c r="J26" s="532">
        <f>J18/J14/3*1000</f>
        <v>29666.666666666668</v>
      </c>
      <c r="K26" s="532"/>
      <c r="L26" s="533">
        <f t="shared" si="0"/>
        <v>1416.6666666666679</v>
      </c>
      <c r="M26" s="533"/>
      <c r="N26" s="534">
        <f t="shared" si="1"/>
        <v>105.0147492625369</v>
      </c>
      <c r="O26" s="536"/>
    </row>
    <row r="27" spans="1:15" s="2" customFormat="1" ht="36" customHeight="1">
      <c r="A27" s="284" t="s">
        <v>209</v>
      </c>
      <c r="B27" s="532">
        <f>B19/B15/3*1000</f>
        <v>8355.5555555555566</v>
      </c>
      <c r="C27" s="532"/>
      <c r="D27" s="532">
        <f>D19/D15/3*1000</f>
        <v>14217.391304347826</v>
      </c>
      <c r="E27" s="532"/>
      <c r="F27" s="532">
        <f>F19/F15/12*1000</f>
        <v>12395.833333333334</v>
      </c>
      <c r="G27" s="532"/>
      <c r="H27" s="532">
        <f>H19/H15/3*1000</f>
        <v>12395.833333333334</v>
      </c>
      <c r="I27" s="532"/>
      <c r="J27" s="532">
        <f>J19/J15/3*1000</f>
        <v>15492.753623188406</v>
      </c>
      <c r="K27" s="532"/>
      <c r="L27" s="533">
        <f t="shared" si="0"/>
        <v>3096.920289855072</v>
      </c>
      <c r="M27" s="533"/>
      <c r="N27" s="534">
        <f t="shared" si="1"/>
        <v>124.98355864084765</v>
      </c>
      <c r="O27" s="536"/>
    </row>
    <row r="28" spans="1:15" s="2" customFormat="1" ht="25.5" customHeight="1" thickBot="1">
      <c r="A28" s="285" t="s">
        <v>211</v>
      </c>
      <c r="B28" s="583">
        <f>B20/B16/3*1000</f>
        <v>3762.5418060200668</v>
      </c>
      <c r="C28" s="583"/>
      <c r="D28" s="583">
        <f>D20/D16/3*1000</f>
        <v>6672.7828746177374</v>
      </c>
      <c r="E28" s="583"/>
      <c r="F28" s="583">
        <f>F20/F16/12*1000</f>
        <v>6373.8191632928465</v>
      </c>
      <c r="G28" s="583"/>
      <c r="H28" s="592">
        <f>H20/H16/3*1000</f>
        <v>6373.8191632928465</v>
      </c>
      <c r="I28" s="592"/>
      <c r="J28" s="583">
        <f>J20/J16/3*1000</f>
        <v>7786.604361370717</v>
      </c>
      <c r="K28" s="583"/>
      <c r="L28" s="587">
        <f t="shared" si="0"/>
        <v>1412.7851980778705</v>
      </c>
      <c r="M28" s="587"/>
      <c r="N28" s="589">
        <f t="shared" si="1"/>
        <v>122.16544212948766</v>
      </c>
      <c r="O28" s="590"/>
    </row>
    <row r="29" spans="1:15" s="2" customFormat="1" ht="36.75" customHeight="1">
      <c r="A29" s="282" t="s">
        <v>213</v>
      </c>
      <c r="B29" s="571">
        <f>B21/B13/3*1000</f>
        <v>4198.9898989898993</v>
      </c>
      <c r="C29" s="571"/>
      <c r="D29" s="571">
        <f>D21/D13/3*1000</f>
        <v>7516.5289256198339</v>
      </c>
      <c r="E29" s="571"/>
      <c r="F29" s="572">
        <f>F21/F13/12*1000</f>
        <v>7064.0096618357484</v>
      </c>
      <c r="G29" s="573"/>
      <c r="H29" s="571">
        <f>H21/H13/3*1000</f>
        <v>7064.0096618357484</v>
      </c>
      <c r="I29" s="571"/>
      <c r="J29" s="571">
        <f>J21/J13/3*1000</f>
        <v>8623.2492997198879</v>
      </c>
      <c r="K29" s="571"/>
      <c r="L29" s="588">
        <f t="shared" si="0"/>
        <v>1559.2396378841395</v>
      </c>
      <c r="M29" s="588"/>
      <c r="N29" s="586">
        <f t="shared" si="1"/>
        <v>122.07301111588423</v>
      </c>
      <c r="O29" s="586"/>
    </row>
    <row r="30" spans="1:15" s="2" customFormat="1" ht="24.75" customHeight="1">
      <c r="A30" s="368" t="s">
        <v>210</v>
      </c>
      <c r="B30" s="532">
        <f>B22/B14/3*1000</f>
        <v>20000</v>
      </c>
      <c r="C30" s="532"/>
      <c r="D30" s="571">
        <f>D22/D14/3*1000</f>
        <v>37333.333333333336</v>
      </c>
      <c r="E30" s="571"/>
      <c r="F30" s="572">
        <f>F22/F14/12*1000</f>
        <v>28250</v>
      </c>
      <c r="G30" s="573"/>
      <c r="H30" s="571">
        <f>H22/H14/3*1000</f>
        <v>28250</v>
      </c>
      <c r="I30" s="571"/>
      <c r="J30" s="571">
        <f>J22/J14/3*1000</f>
        <v>29666.666666666668</v>
      </c>
      <c r="K30" s="571"/>
      <c r="L30" s="533">
        <f t="shared" si="0"/>
        <v>1416.6666666666679</v>
      </c>
      <c r="M30" s="533"/>
      <c r="N30" s="534">
        <f t="shared" si="1"/>
        <v>105.0147492625369</v>
      </c>
      <c r="O30" s="534"/>
    </row>
    <row r="31" spans="1:15" s="2" customFormat="1" ht="34.5" customHeight="1">
      <c r="A31" s="368" t="s">
        <v>209</v>
      </c>
      <c r="B31" s="532">
        <f>B23/B15/312*1000</f>
        <v>80.341880341880355</v>
      </c>
      <c r="C31" s="532"/>
      <c r="D31" s="571">
        <f>D23/D15/3*1000</f>
        <v>14217.391304347826</v>
      </c>
      <c r="E31" s="571"/>
      <c r="F31" s="572">
        <f>F23/F15/12*1000</f>
        <v>12395.833333333334</v>
      </c>
      <c r="G31" s="573"/>
      <c r="H31" s="571">
        <f>H23/H15/3*1000</f>
        <v>12395.833333333334</v>
      </c>
      <c r="I31" s="571"/>
      <c r="J31" s="571">
        <f>J23/J15/3*1000</f>
        <v>15492.753623188406</v>
      </c>
      <c r="K31" s="571"/>
      <c r="L31" s="533">
        <f t="shared" si="0"/>
        <v>3096.920289855072</v>
      </c>
      <c r="M31" s="533"/>
      <c r="N31" s="534">
        <f t="shared" si="1"/>
        <v>124.98355864084765</v>
      </c>
      <c r="O31" s="534"/>
    </row>
    <row r="32" spans="1:15" s="2" customFormat="1" ht="24" customHeight="1">
      <c r="A32" s="368" t="s">
        <v>211</v>
      </c>
      <c r="B32" s="532">
        <f>B24/B16/3*1000</f>
        <v>3729.0969899665552</v>
      </c>
      <c r="C32" s="532"/>
      <c r="D32" s="571">
        <f>D24/D16/3*1000</f>
        <v>6672.7828746177374</v>
      </c>
      <c r="E32" s="571"/>
      <c r="F32" s="572">
        <f>F24/F16/12*1000</f>
        <v>6373.8191632928465</v>
      </c>
      <c r="G32" s="573"/>
      <c r="H32" s="571">
        <f>H24/H16/3*1000</f>
        <v>6373.8191632928465</v>
      </c>
      <c r="I32" s="571"/>
      <c r="J32" s="571">
        <f>J24/J16/3*1000</f>
        <v>7786.604361370717</v>
      </c>
      <c r="K32" s="571"/>
      <c r="L32" s="533">
        <f t="shared" si="0"/>
        <v>1412.7851980778705</v>
      </c>
      <c r="M32" s="533"/>
      <c r="N32" s="534">
        <f t="shared" si="1"/>
        <v>122.16544212948766</v>
      </c>
      <c r="O32" s="534"/>
    </row>
    <row r="33" spans="1:15" s="2" customFormat="1" ht="4.5" customHeight="1">
      <c r="A33" s="358"/>
      <c r="B33" s="358"/>
      <c r="C33" s="358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3"/>
      <c r="O33" s="73"/>
    </row>
    <row r="34" spans="1:15" ht="22.5" customHeight="1">
      <c r="A34" s="599" t="s">
        <v>253</v>
      </c>
      <c r="B34" s="599"/>
      <c r="C34" s="599"/>
      <c r="D34" s="599"/>
      <c r="E34" s="599"/>
      <c r="F34" s="599"/>
      <c r="G34" s="599"/>
      <c r="H34" s="599"/>
      <c r="I34" s="599"/>
      <c r="J34" s="599"/>
      <c r="K34" s="599"/>
      <c r="L34" s="599"/>
      <c r="M34" s="599"/>
      <c r="N34" s="599"/>
      <c r="O34" s="599"/>
    </row>
    <row r="35" spans="1:15" ht="3" hidden="1" customHeight="1">
      <c r="A35" s="20"/>
      <c r="B35" s="20"/>
      <c r="C35" s="20"/>
      <c r="D35" s="20"/>
      <c r="E35" s="20"/>
      <c r="F35" s="20"/>
      <c r="G35" s="20"/>
      <c r="H35" s="20"/>
      <c r="I35" s="20"/>
      <c r="J35" s="362"/>
      <c r="K35" s="362"/>
      <c r="L35" s="362"/>
      <c r="M35" s="362"/>
      <c r="N35" s="362"/>
      <c r="O35" s="362"/>
    </row>
    <row r="36" spans="1:15" ht="20.100000000000001" hidden="1" customHeight="1" outlineLevel="1">
      <c r="A36" s="77"/>
      <c r="B36" s="369"/>
      <c r="C36" s="369"/>
      <c r="D36" s="369"/>
      <c r="E36" s="369"/>
      <c r="F36" s="79"/>
      <c r="G36" s="79"/>
      <c r="H36" s="79"/>
      <c r="I36" s="79"/>
      <c r="J36" s="79"/>
      <c r="K36" s="79"/>
      <c r="L36" s="79"/>
      <c r="M36" s="546" t="s">
        <v>171</v>
      </c>
      <c r="N36" s="546"/>
      <c r="O36" s="546"/>
    </row>
    <row r="37" spans="1:15" ht="20.100000000000001" hidden="1" customHeight="1" outlineLevel="1">
      <c r="A37" s="77"/>
      <c r="B37" s="369"/>
      <c r="C37" s="369"/>
      <c r="D37" s="369"/>
      <c r="E37" s="369"/>
      <c r="F37" s="79"/>
      <c r="G37" s="79"/>
      <c r="H37" s="79"/>
      <c r="I37" s="79"/>
      <c r="J37" s="79"/>
      <c r="K37" s="79"/>
      <c r="L37" s="79"/>
      <c r="M37" s="547" t="s">
        <v>206</v>
      </c>
      <c r="N37" s="547"/>
      <c r="O37" s="547"/>
    </row>
    <row r="38" spans="1:15" ht="22.5" customHeight="1" collapsed="1">
      <c r="A38" s="527" t="s">
        <v>275</v>
      </c>
      <c r="B38" s="527"/>
      <c r="C38" s="527"/>
      <c r="D38" s="527"/>
      <c r="E38" s="527"/>
      <c r="F38" s="527"/>
      <c r="G38" s="527"/>
      <c r="H38" s="527"/>
      <c r="I38" s="527"/>
      <c r="J38" s="527"/>
      <c r="K38" s="362"/>
      <c r="L38" s="362"/>
      <c r="M38" s="362"/>
      <c r="N38" s="362"/>
      <c r="O38" s="362"/>
    </row>
    <row r="39" spans="1:15" ht="6" customHeight="1">
      <c r="A39" s="16"/>
      <c r="C39" s="362"/>
      <c r="D39" s="362"/>
      <c r="E39" s="362"/>
      <c r="F39" s="362"/>
      <c r="G39" s="362"/>
      <c r="H39" s="362"/>
      <c r="I39" s="362"/>
      <c r="J39" s="362"/>
      <c r="K39" s="362"/>
      <c r="L39" s="362"/>
      <c r="M39" s="362"/>
      <c r="N39" s="362"/>
      <c r="O39" s="362"/>
    </row>
    <row r="40" spans="1:15" ht="20.25" customHeight="1">
      <c r="A40" s="542" t="s">
        <v>202</v>
      </c>
      <c r="B40" s="543"/>
      <c r="C40" s="489"/>
      <c r="D40" s="548" t="s">
        <v>172</v>
      </c>
      <c r="E40" s="548"/>
      <c r="F40" s="548"/>
      <c r="G40" s="548" t="s">
        <v>168</v>
      </c>
      <c r="H40" s="548"/>
      <c r="I40" s="548"/>
      <c r="J40" s="548" t="s">
        <v>207</v>
      </c>
      <c r="K40" s="548"/>
      <c r="L40" s="548"/>
      <c r="M40" s="549" t="s">
        <v>208</v>
      </c>
      <c r="N40" s="550"/>
      <c r="O40" s="551"/>
    </row>
    <row r="41" spans="1:15" ht="149.25" customHeight="1">
      <c r="A41" s="544"/>
      <c r="B41" s="545"/>
      <c r="C41" s="490"/>
      <c r="D41" s="365" t="s">
        <v>495</v>
      </c>
      <c r="E41" s="365" t="s">
        <v>496</v>
      </c>
      <c r="F41" s="365" t="s">
        <v>226</v>
      </c>
      <c r="G41" s="365" t="s">
        <v>225</v>
      </c>
      <c r="H41" s="365" t="s">
        <v>224</v>
      </c>
      <c r="I41" s="365" t="s">
        <v>226</v>
      </c>
      <c r="J41" s="365" t="s">
        <v>225</v>
      </c>
      <c r="K41" s="365" t="s">
        <v>224</v>
      </c>
      <c r="L41" s="365" t="s">
        <v>226</v>
      </c>
      <c r="M41" s="365" t="s">
        <v>337</v>
      </c>
      <c r="N41" s="189" t="s">
        <v>256</v>
      </c>
      <c r="O41" s="365" t="s">
        <v>336</v>
      </c>
    </row>
    <row r="42" spans="1:15" ht="13.5" customHeight="1">
      <c r="A42" s="538">
        <v>1</v>
      </c>
      <c r="B42" s="577"/>
      <c r="C42" s="539"/>
      <c r="D42" s="355">
        <v>4</v>
      </c>
      <c r="E42" s="355">
        <v>5</v>
      </c>
      <c r="F42" s="355">
        <v>6</v>
      </c>
      <c r="G42" s="355">
        <v>7</v>
      </c>
      <c r="H42" s="366">
        <v>8</v>
      </c>
      <c r="I42" s="366">
        <v>9</v>
      </c>
      <c r="J42" s="366">
        <v>10</v>
      </c>
      <c r="K42" s="366">
        <v>11</v>
      </c>
      <c r="L42" s="366">
        <v>12</v>
      </c>
      <c r="M42" s="366">
        <v>13</v>
      </c>
      <c r="N42" s="366">
        <v>14</v>
      </c>
      <c r="O42" s="366">
        <v>15</v>
      </c>
    </row>
    <row r="43" spans="1:15" ht="33" customHeight="1">
      <c r="A43" s="562" t="s">
        <v>500</v>
      </c>
      <c r="B43" s="594"/>
      <c r="C43" s="563"/>
      <c r="D43" s="331">
        <v>896874</v>
      </c>
      <c r="E43" s="370">
        <f>F43/D43*1000/3</f>
        <v>4.2573798920844323</v>
      </c>
      <c r="F43" s="332">
        <f>'Осн фін показн (кварт)'!E13</f>
        <v>11455</v>
      </c>
      <c r="G43" s="331">
        <v>896874</v>
      </c>
      <c r="H43" s="370">
        <f>I43/G43*1000/3</f>
        <v>4.2599815210014631</v>
      </c>
      <c r="I43" s="332">
        <f>I47-I45-I46</f>
        <v>11462</v>
      </c>
      <c r="J43" s="363"/>
      <c r="K43" s="363"/>
      <c r="L43" s="364">
        <f>I43-F43</f>
        <v>7</v>
      </c>
      <c r="M43" s="178"/>
      <c r="N43" s="178"/>
      <c r="O43" s="86"/>
    </row>
    <row r="44" spans="1:15" ht="20.100000000000001" customHeight="1">
      <c r="A44" s="562" t="s">
        <v>499</v>
      </c>
      <c r="B44" s="594"/>
      <c r="C44" s="563"/>
      <c r="D44" s="331"/>
      <c r="E44" s="331"/>
      <c r="F44" s="332"/>
      <c r="G44" s="331"/>
      <c r="H44" s="331"/>
      <c r="I44" s="332"/>
      <c r="J44" s="363"/>
      <c r="K44" s="363"/>
      <c r="L44" s="364">
        <f>I44-F44</f>
        <v>0</v>
      </c>
      <c r="M44" s="178"/>
      <c r="N44" s="178"/>
      <c r="O44" s="86"/>
    </row>
    <row r="45" spans="1:15" ht="20.100000000000001" customHeight="1">
      <c r="A45" s="562" t="s">
        <v>497</v>
      </c>
      <c r="B45" s="594"/>
      <c r="C45" s="563"/>
      <c r="D45" s="331"/>
      <c r="E45" s="331"/>
      <c r="F45" s="332"/>
      <c r="G45" s="331"/>
      <c r="H45" s="331"/>
      <c r="I45" s="332">
        <v>535</v>
      </c>
      <c r="J45" s="363"/>
      <c r="K45" s="363"/>
      <c r="L45" s="364">
        <f>I45-F45</f>
        <v>535</v>
      </c>
      <c r="M45" s="178"/>
      <c r="N45" s="178"/>
      <c r="O45" s="86"/>
    </row>
    <row r="46" spans="1:15" ht="20.100000000000001" customHeight="1">
      <c r="A46" s="562" t="s">
        <v>506</v>
      </c>
      <c r="B46" s="594"/>
      <c r="C46" s="563"/>
      <c r="D46" s="331"/>
      <c r="E46" s="331"/>
      <c r="F46" s="332"/>
      <c r="G46" s="331"/>
      <c r="H46" s="331"/>
      <c r="I46" s="332">
        <v>51</v>
      </c>
      <c r="J46" s="363"/>
      <c r="K46" s="363"/>
      <c r="L46" s="364">
        <f>I46-F46</f>
        <v>51</v>
      </c>
      <c r="M46" s="178"/>
      <c r="N46" s="178"/>
      <c r="O46" s="86"/>
    </row>
    <row r="47" spans="1:15" ht="20.100000000000001" customHeight="1">
      <c r="A47" s="574" t="s">
        <v>49</v>
      </c>
      <c r="B47" s="575"/>
      <c r="C47" s="576"/>
      <c r="D47" s="331"/>
      <c r="E47" s="331"/>
      <c r="F47" s="331">
        <f>SUM(F43:F46)</f>
        <v>11455</v>
      </c>
      <c r="G47" s="331"/>
      <c r="H47" s="331"/>
      <c r="I47" s="331">
        <f>'Осн фін показн (кварт)'!F13</f>
        <v>12048</v>
      </c>
      <c r="J47" s="363"/>
      <c r="K47" s="363"/>
      <c r="L47" s="364">
        <f>I47-F47</f>
        <v>593</v>
      </c>
      <c r="M47" s="178"/>
      <c r="N47" s="178"/>
      <c r="O47" s="86"/>
    </row>
    <row r="48" spans="1:15" ht="9" customHeight="1">
      <c r="A48" s="18"/>
      <c r="B48" s="19"/>
      <c r="C48" s="19"/>
      <c r="D48" s="19"/>
      <c r="E48" s="19"/>
      <c r="F48" s="354"/>
      <c r="G48" s="354"/>
      <c r="H48" s="354"/>
      <c r="I48" s="361"/>
      <c r="J48" s="361"/>
      <c r="K48" s="361"/>
      <c r="L48" s="361"/>
      <c r="M48" s="361"/>
      <c r="N48" s="361"/>
      <c r="O48" s="361"/>
    </row>
    <row r="49" spans="1:15" ht="20.25" customHeight="1">
      <c r="A49" s="527" t="s">
        <v>276</v>
      </c>
      <c r="B49" s="527"/>
      <c r="C49" s="527"/>
      <c r="D49" s="527"/>
      <c r="E49" s="527"/>
      <c r="F49" s="527"/>
      <c r="G49" s="527"/>
      <c r="H49" s="527"/>
      <c r="I49" s="527"/>
      <c r="J49" s="527"/>
      <c r="K49" s="527"/>
      <c r="L49" s="527"/>
      <c r="M49" s="527"/>
      <c r="N49" s="527"/>
      <c r="O49" s="527"/>
    </row>
    <row r="50" spans="1:15" ht="9" customHeight="1">
      <c r="A50" s="16"/>
      <c r="C50" s="362"/>
      <c r="D50" s="362"/>
      <c r="E50" s="362"/>
      <c r="F50" s="362"/>
      <c r="G50" s="362"/>
      <c r="H50" s="362"/>
      <c r="I50" s="362"/>
      <c r="J50" s="362"/>
      <c r="K50" s="362"/>
      <c r="L50" s="362"/>
      <c r="M50" s="362"/>
      <c r="N50" s="362"/>
      <c r="O50" s="362"/>
    </row>
    <row r="51" spans="1:15" ht="75" customHeight="1">
      <c r="A51" s="356" t="s">
        <v>91</v>
      </c>
      <c r="B51" s="466" t="s">
        <v>65</v>
      </c>
      <c r="C51" s="466"/>
      <c r="D51" s="466" t="s">
        <v>60</v>
      </c>
      <c r="E51" s="466"/>
      <c r="F51" s="466" t="s">
        <v>61</v>
      </c>
      <c r="G51" s="466"/>
      <c r="H51" s="466" t="s">
        <v>76</v>
      </c>
      <c r="I51" s="466"/>
      <c r="J51" s="466"/>
      <c r="K51" s="562" t="s">
        <v>74</v>
      </c>
      <c r="L51" s="563"/>
      <c r="M51" s="562" t="s">
        <v>29</v>
      </c>
      <c r="N51" s="594"/>
      <c r="O51" s="563"/>
    </row>
    <row r="52" spans="1:15" ht="12.75" customHeight="1">
      <c r="A52" s="366">
        <v>1</v>
      </c>
      <c r="B52" s="554">
        <v>2</v>
      </c>
      <c r="C52" s="554"/>
      <c r="D52" s="554">
        <v>3</v>
      </c>
      <c r="E52" s="554"/>
      <c r="F52" s="554">
        <v>4</v>
      </c>
      <c r="G52" s="554"/>
      <c r="H52" s="554">
        <v>5</v>
      </c>
      <c r="I52" s="554"/>
      <c r="J52" s="554"/>
      <c r="K52" s="554">
        <v>6</v>
      </c>
      <c r="L52" s="554"/>
      <c r="M52" s="560">
        <v>7</v>
      </c>
      <c r="N52" s="593"/>
      <c r="O52" s="561"/>
    </row>
    <row r="53" spans="1:15" ht="20.100000000000001" customHeight="1">
      <c r="A53" s="367"/>
      <c r="B53" s="555"/>
      <c r="C53" s="555"/>
      <c r="D53" s="556"/>
      <c r="E53" s="556"/>
      <c r="F53" s="570" t="s">
        <v>181</v>
      </c>
      <c r="G53" s="570"/>
      <c r="H53" s="541"/>
      <c r="I53" s="541"/>
      <c r="J53" s="541"/>
      <c r="K53" s="558"/>
      <c r="L53" s="559"/>
      <c r="M53" s="556"/>
      <c r="N53" s="556"/>
      <c r="O53" s="556"/>
    </row>
    <row r="54" spans="1:15" ht="20.100000000000001" customHeight="1">
      <c r="A54" s="367"/>
      <c r="B54" s="597"/>
      <c r="C54" s="598"/>
      <c r="D54" s="564"/>
      <c r="E54" s="566"/>
      <c r="F54" s="578"/>
      <c r="G54" s="579"/>
      <c r="H54" s="580"/>
      <c r="I54" s="581"/>
      <c r="J54" s="582"/>
      <c r="K54" s="558"/>
      <c r="L54" s="559"/>
      <c r="M54" s="564"/>
      <c r="N54" s="565"/>
      <c r="O54" s="566"/>
    </row>
    <row r="55" spans="1:15" ht="20.100000000000001" customHeight="1">
      <c r="A55" s="367"/>
      <c r="B55" s="595"/>
      <c r="C55" s="596"/>
      <c r="D55" s="564"/>
      <c r="E55" s="566"/>
      <c r="F55" s="578"/>
      <c r="G55" s="579"/>
      <c r="H55" s="580"/>
      <c r="I55" s="581"/>
      <c r="J55" s="582"/>
      <c r="K55" s="558"/>
      <c r="L55" s="559"/>
      <c r="M55" s="564"/>
      <c r="N55" s="565"/>
      <c r="O55" s="566"/>
    </row>
    <row r="56" spans="1:15" ht="20.100000000000001" customHeight="1">
      <c r="A56" s="31" t="s">
        <v>49</v>
      </c>
      <c r="B56" s="463" t="s">
        <v>30</v>
      </c>
      <c r="C56" s="463"/>
      <c r="D56" s="463" t="s">
        <v>30</v>
      </c>
      <c r="E56" s="463"/>
      <c r="F56" s="463" t="s">
        <v>30</v>
      </c>
      <c r="G56" s="463"/>
      <c r="H56" s="541"/>
      <c r="I56" s="541"/>
      <c r="J56" s="541"/>
      <c r="K56" s="567">
        <f>SUM(K53:L55)</f>
        <v>0</v>
      </c>
      <c r="L56" s="568"/>
      <c r="M56" s="556"/>
      <c r="N56" s="556"/>
      <c r="O56" s="556"/>
    </row>
    <row r="57" spans="1:15" ht="6.75" customHeight="1">
      <c r="A57" s="354"/>
      <c r="B57" s="357"/>
      <c r="C57" s="357"/>
      <c r="D57" s="357"/>
      <c r="E57" s="357"/>
      <c r="F57" s="357"/>
      <c r="G57" s="357"/>
      <c r="H57" s="357"/>
      <c r="I57" s="357"/>
      <c r="J57" s="357"/>
      <c r="K57" s="360"/>
      <c r="L57" s="360"/>
      <c r="M57" s="360"/>
      <c r="N57" s="360"/>
      <c r="O57" s="360"/>
    </row>
    <row r="58" spans="1:15" ht="21.75" customHeight="1">
      <c r="A58" s="527" t="s">
        <v>277</v>
      </c>
      <c r="B58" s="527"/>
      <c r="C58" s="527"/>
      <c r="D58" s="527"/>
      <c r="E58" s="527"/>
      <c r="F58" s="527"/>
      <c r="G58" s="527"/>
      <c r="H58" s="527"/>
      <c r="I58" s="527"/>
      <c r="J58" s="527"/>
      <c r="K58" s="527"/>
      <c r="L58" s="527"/>
      <c r="M58" s="527"/>
      <c r="N58" s="527"/>
      <c r="O58" s="527"/>
    </row>
    <row r="59" spans="1:15" ht="5.25" customHeight="1">
      <c r="A59" s="361"/>
      <c r="B59" s="15"/>
      <c r="C59" s="361"/>
      <c r="D59" s="361"/>
      <c r="E59" s="361"/>
      <c r="F59" s="361"/>
      <c r="G59" s="361"/>
      <c r="H59" s="361"/>
      <c r="I59" s="14"/>
      <c r="J59" s="362"/>
      <c r="K59" s="362"/>
      <c r="L59" s="362"/>
      <c r="M59" s="362"/>
      <c r="N59" s="362"/>
      <c r="O59" s="362"/>
    </row>
    <row r="60" spans="1:15" ht="42.75" customHeight="1">
      <c r="A60" s="466" t="s">
        <v>59</v>
      </c>
      <c r="B60" s="466"/>
      <c r="C60" s="466"/>
      <c r="D60" s="466" t="s">
        <v>173</v>
      </c>
      <c r="E60" s="466"/>
      <c r="F60" s="466" t="s">
        <v>174</v>
      </c>
      <c r="G60" s="466"/>
      <c r="H60" s="466"/>
      <c r="I60" s="466"/>
      <c r="J60" s="466" t="s">
        <v>177</v>
      </c>
      <c r="K60" s="466"/>
      <c r="L60" s="466"/>
      <c r="M60" s="466"/>
      <c r="N60" s="466" t="s">
        <v>178</v>
      </c>
      <c r="O60" s="466"/>
    </row>
    <row r="61" spans="1:15" ht="33" customHeight="1">
      <c r="A61" s="466"/>
      <c r="B61" s="466"/>
      <c r="C61" s="466"/>
      <c r="D61" s="466"/>
      <c r="E61" s="466"/>
      <c r="F61" s="463" t="s">
        <v>175</v>
      </c>
      <c r="G61" s="463"/>
      <c r="H61" s="466" t="s">
        <v>176</v>
      </c>
      <c r="I61" s="466"/>
      <c r="J61" s="463" t="s">
        <v>175</v>
      </c>
      <c r="K61" s="463"/>
      <c r="L61" s="466" t="s">
        <v>176</v>
      </c>
      <c r="M61" s="466"/>
      <c r="N61" s="466"/>
      <c r="O61" s="466"/>
    </row>
    <row r="62" spans="1:15" ht="12.75" customHeight="1">
      <c r="A62" s="464">
        <v>1</v>
      </c>
      <c r="B62" s="464"/>
      <c r="C62" s="464"/>
      <c r="D62" s="538">
        <v>2</v>
      </c>
      <c r="E62" s="539"/>
      <c r="F62" s="538">
        <v>3</v>
      </c>
      <c r="G62" s="539"/>
      <c r="H62" s="560">
        <v>4</v>
      </c>
      <c r="I62" s="561"/>
      <c r="J62" s="560">
        <v>5</v>
      </c>
      <c r="K62" s="561"/>
      <c r="L62" s="560">
        <v>6</v>
      </c>
      <c r="M62" s="561"/>
      <c r="N62" s="560">
        <v>7</v>
      </c>
      <c r="O62" s="561"/>
    </row>
    <row r="63" spans="1:15" ht="21.95" customHeight="1">
      <c r="A63" s="557" t="s">
        <v>221</v>
      </c>
      <c r="B63" s="557"/>
      <c r="C63" s="557"/>
      <c r="D63" s="558"/>
      <c r="E63" s="559"/>
      <c r="F63" s="558"/>
      <c r="G63" s="559"/>
      <c r="H63" s="558"/>
      <c r="I63" s="559"/>
      <c r="J63" s="558"/>
      <c r="K63" s="559"/>
      <c r="L63" s="558"/>
      <c r="M63" s="559"/>
      <c r="N63" s="558"/>
      <c r="O63" s="559"/>
    </row>
    <row r="64" spans="1:15" ht="13.5" customHeight="1">
      <c r="A64" s="569" t="s">
        <v>85</v>
      </c>
      <c r="B64" s="569"/>
      <c r="C64" s="569"/>
      <c r="D64" s="558"/>
      <c r="E64" s="559"/>
      <c r="F64" s="558"/>
      <c r="G64" s="559"/>
      <c r="H64" s="558"/>
      <c r="I64" s="559"/>
      <c r="J64" s="558"/>
      <c r="K64" s="559"/>
      <c r="L64" s="558"/>
      <c r="M64" s="559"/>
      <c r="N64" s="558"/>
      <c r="O64" s="559"/>
    </row>
    <row r="65" spans="1:15" ht="21.95" customHeight="1">
      <c r="A65" s="557"/>
      <c r="B65" s="557"/>
      <c r="C65" s="557"/>
      <c r="D65" s="558"/>
      <c r="E65" s="559"/>
      <c r="F65" s="558"/>
      <c r="G65" s="559"/>
      <c r="H65" s="558"/>
      <c r="I65" s="559"/>
      <c r="J65" s="558"/>
      <c r="K65" s="559"/>
      <c r="L65" s="558"/>
      <c r="M65" s="559"/>
      <c r="N65" s="558"/>
      <c r="O65" s="559"/>
    </row>
    <row r="66" spans="1:15" ht="21.95" customHeight="1">
      <c r="A66" s="557" t="s">
        <v>222</v>
      </c>
      <c r="B66" s="557"/>
      <c r="C66" s="557"/>
      <c r="D66" s="558"/>
      <c r="E66" s="559"/>
      <c r="F66" s="558"/>
      <c r="G66" s="559"/>
      <c r="H66" s="558"/>
      <c r="I66" s="559"/>
      <c r="J66" s="558"/>
      <c r="K66" s="559"/>
      <c r="L66" s="558"/>
      <c r="M66" s="559"/>
      <c r="N66" s="558"/>
      <c r="O66" s="559"/>
    </row>
    <row r="67" spans="1:15" ht="13.5" customHeight="1">
      <c r="A67" s="569" t="s">
        <v>261</v>
      </c>
      <c r="B67" s="569"/>
      <c r="C67" s="569"/>
      <c r="D67" s="558"/>
      <c r="E67" s="559"/>
      <c r="F67" s="558"/>
      <c r="G67" s="559"/>
      <c r="H67" s="558"/>
      <c r="I67" s="559"/>
      <c r="J67" s="558"/>
      <c r="K67" s="559"/>
      <c r="L67" s="558"/>
      <c r="M67" s="559"/>
      <c r="N67" s="558"/>
      <c r="O67" s="559"/>
    </row>
    <row r="68" spans="1:15" ht="21.95" customHeight="1">
      <c r="A68" s="557"/>
      <c r="B68" s="557"/>
      <c r="C68" s="557"/>
      <c r="D68" s="558"/>
      <c r="E68" s="559"/>
      <c r="F68" s="558"/>
      <c r="G68" s="559"/>
      <c r="H68" s="558"/>
      <c r="I68" s="559"/>
      <c r="J68" s="558"/>
      <c r="K68" s="559"/>
      <c r="L68" s="558"/>
      <c r="M68" s="559"/>
      <c r="N68" s="558"/>
      <c r="O68" s="559"/>
    </row>
    <row r="69" spans="1:15" ht="21.95" customHeight="1">
      <c r="A69" s="557" t="s">
        <v>223</v>
      </c>
      <c r="B69" s="557"/>
      <c r="C69" s="557"/>
      <c r="D69" s="558"/>
      <c r="E69" s="559"/>
      <c r="F69" s="558"/>
      <c r="G69" s="559"/>
      <c r="H69" s="558"/>
      <c r="I69" s="559"/>
      <c r="J69" s="558"/>
      <c r="K69" s="559"/>
      <c r="L69" s="558"/>
      <c r="M69" s="559"/>
      <c r="N69" s="558"/>
      <c r="O69" s="559"/>
    </row>
    <row r="70" spans="1:15" ht="12.75" customHeight="1">
      <c r="A70" s="569" t="s">
        <v>85</v>
      </c>
      <c r="B70" s="569"/>
      <c r="C70" s="569"/>
      <c r="D70" s="558"/>
      <c r="E70" s="559"/>
      <c r="F70" s="558"/>
      <c r="G70" s="559"/>
      <c r="H70" s="558"/>
      <c r="I70" s="559"/>
      <c r="J70" s="558"/>
      <c r="K70" s="559"/>
      <c r="L70" s="558"/>
      <c r="M70" s="559"/>
      <c r="N70" s="558"/>
      <c r="O70" s="559"/>
    </row>
    <row r="71" spans="1:15" ht="21.95" customHeight="1">
      <c r="A71" s="557" t="s">
        <v>528</v>
      </c>
      <c r="B71" s="557"/>
      <c r="C71" s="557"/>
      <c r="D71" s="558"/>
      <c r="E71" s="559"/>
      <c r="F71" s="558"/>
      <c r="G71" s="559"/>
      <c r="H71" s="558"/>
      <c r="I71" s="559"/>
      <c r="J71" s="558"/>
      <c r="K71" s="559"/>
      <c r="L71" s="558"/>
      <c r="M71" s="559"/>
      <c r="N71" s="558"/>
      <c r="O71" s="559"/>
    </row>
    <row r="72" spans="1:15" ht="21.95" customHeight="1">
      <c r="A72" s="557" t="s">
        <v>49</v>
      </c>
      <c r="B72" s="557"/>
      <c r="C72" s="557"/>
      <c r="D72" s="558"/>
      <c r="E72" s="559"/>
      <c r="F72" s="558"/>
      <c r="G72" s="559"/>
      <c r="H72" s="558"/>
      <c r="I72" s="559"/>
      <c r="J72" s="558"/>
      <c r="K72" s="559"/>
      <c r="L72" s="558"/>
      <c r="M72" s="559"/>
      <c r="N72" s="558"/>
      <c r="O72" s="559"/>
    </row>
    <row r="73" spans="1:15">
      <c r="A73" s="362"/>
      <c r="C73" s="25"/>
      <c r="D73" s="25"/>
      <c r="E73" s="25"/>
      <c r="F73" s="362"/>
      <c r="G73" s="362"/>
      <c r="H73" s="362"/>
      <c r="I73" s="362"/>
      <c r="J73" s="362"/>
      <c r="K73" s="362"/>
      <c r="L73" s="362"/>
      <c r="M73" s="362"/>
      <c r="N73" s="362"/>
      <c r="O73" s="362"/>
    </row>
    <row r="74" spans="1:15" ht="18.75" customHeight="1">
      <c r="A74" s="362"/>
      <c r="C74" s="25"/>
      <c r="D74" s="25"/>
      <c r="E74" s="25"/>
      <c r="F74" s="362"/>
      <c r="G74" s="362"/>
      <c r="H74" s="362"/>
      <c r="I74" s="362"/>
      <c r="J74" s="362"/>
      <c r="K74" s="362"/>
      <c r="L74" s="362"/>
      <c r="M74" s="362"/>
      <c r="N74" s="362"/>
      <c r="O74" s="362"/>
    </row>
    <row r="75" spans="1:15">
      <c r="A75" s="362"/>
      <c r="C75" s="25"/>
      <c r="D75" s="25"/>
      <c r="E75" s="25"/>
      <c r="F75" s="362"/>
      <c r="G75" s="362"/>
      <c r="H75" s="362"/>
      <c r="I75" s="362"/>
      <c r="J75" s="362"/>
      <c r="K75" s="362"/>
      <c r="L75" s="362"/>
      <c r="M75" s="362"/>
      <c r="N75" s="362"/>
      <c r="O75" s="362"/>
    </row>
    <row r="76" spans="1:15">
      <c r="A76" s="362"/>
      <c r="C76" s="25"/>
      <c r="D76" s="25"/>
      <c r="E76" s="25"/>
      <c r="F76" s="362"/>
      <c r="G76" s="362"/>
      <c r="H76" s="362"/>
      <c r="I76" s="362"/>
      <c r="J76" s="362"/>
      <c r="K76" s="362"/>
      <c r="L76" s="362"/>
      <c r="M76" s="362"/>
      <c r="N76" s="362"/>
      <c r="O76" s="362"/>
    </row>
    <row r="77" spans="1:15" ht="18.75" customHeight="1">
      <c r="A77" s="362"/>
      <c r="C77" s="25"/>
      <c r="D77" s="25"/>
      <c r="E77" s="25"/>
      <c r="F77" s="362"/>
      <c r="G77" s="362"/>
      <c r="H77" s="362"/>
      <c r="I77" s="362"/>
      <c r="J77" s="362"/>
      <c r="K77" s="362"/>
      <c r="L77" s="362"/>
      <c r="M77" s="362"/>
      <c r="N77" s="362"/>
      <c r="O77" s="362"/>
    </row>
    <row r="78" spans="1:15">
      <c r="A78" s="362"/>
      <c r="C78" s="25"/>
      <c r="D78" s="25"/>
      <c r="E78" s="25"/>
      <c r="F78" s="362"/>
      <c r="G78" s="362"/>
      <c r="H78" s="362"/>
      <c r="I78" s="362"/>
      <c r="J78" s="362"/>
      <c r="K78" s="362"/>
      <c r="L78" s="362"/>
      <c r="M78" s="362"/>
      <c r="N78" s="362"/>
      <c r="O78" s="362"/>
    </row>
    <row r="79" spans="1:15">
      <c r="A79" s="362"/>
      <c r="C79" s="25"/>
      <c r="D79" s="25"/>
      <c r="E79" s="25"/>
      <c r="F79" s="362"/>
      <c r="G79" s="362"/>
      <c r="H79" s="362"/>
      <c r="I79" s="362"/>
      <c r="J79" s="362"/>
      <c r="K79" s="362"/>
      <c r="L79" s="362"/>
      <c r="M79" s="362"/>
      <c r="N79" s="362"/>
      <c r="O79" s="362"/>
    </row>
    <row r="80" spans="1:15">
      <c r="A80" s="362"/>
      <c r="C80" s="25"/>
      <c r="D80" s="25"/>
      <c r="E80" s="25"/>
      <c r="F80" s="362"/>
      <c r="G80" s="362"/>
      <c r="H80" s="362"/>
      <c r="I80" s="362"/>
      <c r="J80" s="362"/>
      <c r="K80" s="362"/>
      <c r="L80" s="362"/>
      <c r="M80" s="362"/>
      <c r="N80" s="362"/>
      <c r="O80" s="362"/>
    </row>
    <row r="81" spans="3:5">
      <c r="C81" s="25"/>
      <c r="D81" s="25"/>
      <c r="E81" s="25"/>
    </row>
    <row r="82" spans="3:5">
      <c r="C82" s="25"/>
      <c r="D82" s="25"/>
      <c r="E82" s="25"/>
    </row>
    <row r="83" spans="3:5">
      <c r="C83" s="25"/>
      <c r="D83" s="25"/>
      <c r="E83" s="25"/>
    </row>
    <row r="84" spans="3:5">
      <c r="C84" s="25"/>
      <c r="D84" s="25"/>
      <c r="E84" s="25"/>
    </row>
    <row r="85" spans="3:5">
      <c r="C85" s="25"/>
      <c r="D85" s="25"/>
      <c r="E85" s="25"/>
    </row>
    <row r="86" spans="3:5">
      <c r="C86" s="25"/>
      <c r="D86" s="25"/>
      <c r="E86" s="25"/>
    </row>
  </sheetData>
  <mergeCells count="301">
    <mergeCell ref="N32:O32"/>
    <mergeCell ref="L32:M32"/>
    <mergeCell ref="K55:L55"/>
    <mergeCell ref="M55:O55"/>
    <mergeCell ref="J32:K32"/>
    <mergeCell ref="M53:O53"/>
    <mergeCell ref="M52:O52"/>
    <mergeCell ref="M51:O51"/>
    <mergeCell ref="A38:J38"/>
    <mergeCell ref="H53:J53"/>
    <mergeCell ref="B55:C55"/>
    <mergeCell ref="B54:C54"/>
    <mergeCell ref="H55:J55"/>
    <mergeCell ref="K53:L53"/>
    <mergeCell ref="A34:O34"/>
    <mergeCell ref="B32:C32"/>
    <mergeCell ref="D32:E32"/>
    <mergeCell ref="A45:C45"/>
    <mergeCell ref="A46:C46"/>
    <mergeCell ref="A43:C43"/>
    <mergeCell ref="A44:C44"/>
    <mergeCell ref="D54:E54"/>
    <mergeCell ref="D55:E55"/>
    <mergeCell ref="F55:G55"/>
    <mergeCell ref="B13:C13"/>
    <mergeCell ref="B14:C14"/>
    <mergeCell ref="B15:C15"/>
    <mergeCell ref="B16:C16"/>
    <mergeCell ref="B31:C31"/>
    <mergeCell ref="F25:G25"/>
    <mergeCell ref="D25:E25"/>
    <mergeCell ref="F26:G26"/>
    <mergeCell ref="B26:C26"/>
    <mergeCell ref="B25:C25"/>
    <mergeCell ref="B18:C18"/>
    <mergeCell ref="B30:C30"/>
    <mergeCell ref="B21:C21"/>
    <mergeCell ref="B22:C22"/>
    <mergeCell ref="B23:C23"/>
    <mergeCell ref="B24:C24"/>
    <mergeCell ref="B28:C28"/>
    <mergeCell ref="B27:C27"/>
    <mergeCell ref="B29:C29"/>
    <mergeCell ref="D28:E28"/>
    <mergeCell ref="D31:E31"/>
    <mergeCell ref="D29:E29"/>
    <mergeCell ref="D30:E30"/>
    <mergeCell ref="D13:E13"/>
    <mergeCell ref="J29:K29"/>
    <mergeCell ref="J30:K30"/>
    <mergeCell ref="J31:K31"/>
    <mergeCell ref="N31:O31"/>
    <mergeCell ref="B17:C17"/>
    <mergeCell ref="B19:C19"/>
    <mergeCell ref="B20:C20"/>
    <mergeCell ref="L29:M29"/>
    <mergeCell ref="H28:I28"/>
    <mergeCell ref="J24:K24"/>
    <mergeCell ref="F24:G24"/>
    <mergeCell ref="H24:I24"/>
    <mergeCell ref="N29:O29"/>
    <mergeCell ref="F27:G27"/>
    <mergeCell ref="F28:G28"/>
    <mergeCell ref="F29:G29"/>
    <mergeCell ref="D26:E26"/>
    <mergeCell ref="D27:E27"/>
    <mergeCell ref="N30:O30"/>
    <mergeCell ref="H27:I27"/>
    <mergeCell ref="J27:K27"/>
    <mergeCell ref="J28:K28"/>
    <mergeCell ref="H29:I29"/>
    <mergeCell ref="L27:M27"/>
    <mergeCell ref="H23:I23"/>
    <mergeCell ref="J20:K20"/>
    <mergeCell ref="J21:K21"/>
    <mergeCell ref="J22:K22"/>
    <mergeCell ref="L28:M28"/>
    <mergeCell ref="L25:M25"/>
    <mergeCell ref="L26:M26"/>
    <mergeCell ref="L24:M24"/>
    <mergeCell ref="N25:O25"/>
    <mergeCell ref="N26:O26"/>
    <mergeCell ref="N27:O27"/>
    <mergeCell ref="N28:O28"/>
    <mergeCell ref="H26:I26"/>
    <mergeCell ref="J26:K26"/>
    <mergeCell ref="H25:I25"/>
    <mergeCell ref="J25:K25"/>
    <mergeCell ref="D23:E23"/>
    <mergeCell ref="A49:O49"/>
    <mergeCell ref="L18:M18"/>
    <mergeCell ref="L19:M19"/>
    <mergeCell ref="N17:O17"/>
    <mergeCell ref="N18:O18"/>
    <mergeCell ref="N21:O21"/>
    <mergeCell ref="N22:O22"/>
    <mergeCell ref="H18:I18"/>
    <mergeCell ref="H19:I19"/>
    <mergeCell ref="H17:I17"/>
    <mergeCell ref="J18:K18"/>
    <mergeCell ref="J19:K19"/>
    <mergeCell ref="N23:O23"/>
    <mergeCell ref="L20:M20"/>
    <mergeCell ref="L21:M21"/>
    <mergeCell ref="L22:M22"/>
    <mergeCell ref="L23:M23"/>
    <mergeCell ref="N20:O20"/>
    <mergeCell ref="N24:O24"/>
    <mergeCell ref="J23:K23"/>
    <mergeCell ref="H20:I20"/>
    <mergeCell ref="H21:I21"/>
    <mergeCell ref="H22:I22"/>
    <mergeCell ref="A47:C47"/>
    <mergeCell ref="A42:C42"/>
    <mergeCell ref="H14:I14"/>
    <mergeCell ref="H15:I15"/>
    <mergeCell ref="F15:G15"/>
    <mergeCell ref="J14:K14"/>
    <mergeCell ref="F14:G14"/>
    <mergeCell ref="F54:G54"/>
    <mergeCell ref="H54:J54"/>
    <mergeCell ref="H16:I16"/>
    <mergeCell ref="F16:G16"/>
    <mergeCell ref="J15:K15"/>
    <mergeCell ref="F18:G18"/>
    <mergeCell ref="F19:G19"/>
    <mergeCell ref="F20:G20"/>
    <mergeCell ref="F21:G21"/>
    <mergeCell ref="F22:G22"/>
    <mergeCell ref="F23:G23"/>
    <mergeCell ref="D40:F40"/>
    <mergeCell ref="F32:G32"/>
    <mergeCell ref="D24:E24"/>
    <mergeCell ref="D20:E20"/>
    <mergeCell ref="D21:E21"/>
    <mergeCell ref="D22:E22"/>
    <mergeCell ref="F53:G53"/>
    <mergeCell ref="K52:L52"/>
    <mergeCell ref="H31:I31"/>
    <mergeCell ref="L30:M30"/>
    <mergeCell ref="L31:M31"/>
    <mergeCell ref="H52:J52"/>
    <mergeCell ref="H30:I30"/>
    <mergeCell ref="F30:G30"/>
    <mergeCell ref="F31:G31"/>
    <mergeCell ref="H32:I32"/>
    <mergeCell ref="H62:I62"/>
    <mergeCell ref="N72:O72"/>
    <mergeCell ref="D71:E71"/>
    <mergeCell ref="F71:G71"/>
    <mergeCell ref="H71:I71"/>
    <mergeCell ref="J70:K70"/>
    <mergeCell ref="J64:K64"/>
    <mergeCell ref="L65:M65"/>
    <mergeCell ref="J65:K65"/>
    <mergeCell ref="L67:M67"/>
    <mergeCell ref="L66:M66"/>
    <mergeCell ref="N71:O71"/>
    <mergeCell ref="D72:E72"/>
    <mergeCell ref="F72:G72"/>
    <mergeCell ref="H72:I72"/>
    <mergeCell ref="J72:K72"/>
    <mergeCell ref="L72:M72"/>
    <mergeCell ref="J71:K71"/>
    <mergeCell ref="H68:I68"/>
    <mergeCell ref="L68:M68"/>
    <mergeCell ref="H64:I64"/>
    <mergeCell ref="N67:O67"/>
    <mergeCell ref="D69:E69"/>
    <mergeCell ref="F69:G69"/>
    <mergeCell ref="A72:C72"/>
    <mergeCell ref="D65:E65"/>
    <mergeCell ref="F65:G65"/>
    <mergeCell ref="A70:C70"/>
    <mergeCell ref="D68:E68"/>
    <mergeCell ref="F68:G68"/>
    <mergeCell ref="A69:C69"/>
    <mergeCell ref="A68:C68"/>
    <mergeCell ref="D60:E61"/>
    <mergeCell ref="F63:G63"/>
    <mergeCell ref="D63:E63"/>
    <mergeCell ref="D62:E62"/>
    <mergeCell ref="A60:C61"/>
    <mergeCell ref="F60:I60"/>
    <mergeCell ref="F61:G61"/>
    <mergeCell ref="A71:C71"/>
    <mergeCell ref="F62:G62"/>
    <mergeCell ref="A64:C64"/>
    <mergeCell ref="D70:E70"/>
    <mergeCell ref="F70:G70"/>
    <mergeCell ref="H70:I70"/>
    <mergeCell ref="A66:C66"/>
    <mergeCell ref="A67:C67"/>
    <mergeCell ref="A65:C65"/>
    <mergeCell ref="H69:I69"/>
    <mergeCell ref="J69:K69"/>
    <mergeCell ref="L69:M69"/>
    <mergeCell ref="D64:E64"/>
    <mergeCell ref="F64:G64"/>
    <mergeCell ref="F67:G67"/>
    <mergeCell ref="D66:E66"/>
    <mergeCell ref="H65:I65"/>
    <mergeCell ref="H66:I66"/>
    <mergeCell ref="N66:O66"/>
    <mergeCell ref="L70:M70"/>
    <mergeCell ref="L71:M71"/>
    <mergeCell ref="J67:K67"/>
    <mergeCell ref="N70:O70"/>
    <mergeCell ref="K56:L56"/>
    <mergeCell ref="L64:M64"/>
    <mergeCell ref="N64:O64"/>
    <mergeCell ref="N65:O65"/>
    <mergeCell ref="J66:K66"/>
    <mergeCell ref="J68:K68"/>
    <mergeCell ref="N69:O69"/>
    <mergeCell ref="N60:O61"/>
    <mergeCell ref="L63:M63"/>
    <mergeCell ref="N62:O62"/>
    <mergeCell ref="A63:C63"/>
    <mergeCell ref="A62:C62"/>
    <mergeCell ref="H63:I63"/>
    <mergeCell ref="M56:O56"/>
    <mergeCell ref="L62:M62"/>
    <mergeCell ref="N68:O68"/>
    <mergeCell ref="J62:K62"/>
    <mergeCell ref="J60:M60"/>
    <mergeCell ref="B51:C51"/>
    <mergeCell ref="D51:E51"/>
    <mergeCell ref="F51:G51"/>
    <mergeCell ref="H51:J51"/>
    <mergeCell ref="K51:L51"/>
    <mergeCell ref="F66:G66"/>
    <mergeCell ref="D67:E67"/>
    <mergeCell ref="H67:I67"/>
    <mergeCell ref="K54:L54"/>
    <mergeCell ref="M54:O54"/>
    <mergeCell ref="A58:O58"/>
    <mergeCell ref="N63:O63"/>
    <mergeCell ref="J63:K63"/>
    <mergeCell ref="J61:K61"/>
    <mergeCell ref="L61:M61"/>
    <mergeCell ref="B56:C56"/>
    <mergeCell ref="F13:G13"/>
    <mergeCell ref="H13:I13"/>
    <mergeCell ref="D56:E56"/>
    <mergeCell ref="F56:G56"/>
    <mergeCell ref="H56:J56"/>
    <mergeCell ref="H61:I61"/>
    <mergeCell ref="A40:C41"/>
    <mergeCell ref="M36:O36"/>
    <mergeCell ref="M37:O37"/>
    <mergeCell ref="G40:I40"/>
    <mergeCell ref="J40:L40"/>
    <mergeCell ref="M40:O40"/>
    <mergeCell ref="L14:M14"/>
    <mergeCell ref="N14:O14"/>
    <mergeCell ref="L15:M15"/>
    <mergeCell ref="N15:O15"/>
    <mergeCell ref="L16:M16"/>
    <mergeCell ref="N16:O16"/>
    <mergeCell ref="J17:K17"/>
    <mergeCell ref="B52:C52"/>
    <mergeCell ref="B53:C53"/>
    <mergeCell ref="F52:G52"/>
    <mergeCell ref="D53:E53"/>
    <mergeCell ref="D52:E52"/>
    <mergeCell ref="J13:K13"/>
    <mergeCell ref="L13:M13"/>
    <mergeCell ref="N13:O13"/>
    <mergeCell ref="J16:K16"/>
    <mergeCell ref="N19:O19"/>
    <mergeCell ref="L17:M17"/>
    <mergeCell ref="B12:C12"/>
    <mergeCell ref="H11:I11"/>
    <mergeCell ref="N11:O11"/>
    <mergeCell ref="D12:E12"/>
    <mergeCell ref="J11:K11"/>
    <mergeCell ref="L11:M11"/>
    <mergeCell ref="L12:M12"/>
    <mergeCell ref="N12:O12"/>
    <mergeCell ref="F12:G12"/>
    <mergeCell ref="J12:K12"/>
    <mergeCell ref="H12:I12"/>
    <mergeCell ref="D14:E14"/>
    <mergeCell ref="D15:E15"/>
    <mergeCell ref="D16:E16"/>
    <mergeCell ref="D17:E17"/>
    <mergeCell ref="F17:G17"/>
    <mergeCell ref="D18:E18"/>
    <mergeCell ref="D19:E19"/>
    <mergeCell ref="A7:O7"/>
    <mergeCell ref="A9:O9"/>
    <mergeCell ref="B11:C11"/>
    <mergeCell ref="D11:E11"/>
    <mergeCell ref="F11:G11"/>
    <mergeCell ref="N1:O1"/>
    <mergeCell ref="N2:O2"/>
    <mergeCell ref="A3:O3"/>
    <mergeCell ref="A4:O4"/>
    <mergeCell ref="A5:O5"/>
    <mergeCell ref="A6:O6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tabSelected="1" view="pageBreakPreview" topLeftCell="A3" zoomScale="77" zoomScaleNormal="75" zoomScaleSheetLayoutView="77" workbookViewId="0">
      <selection activeCell="N11" sqref="N11:Q11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R1" s="24"/>
      <c r="S1" s="24"/>
      <c r="T1" s="24"/>
      <c r="U1" s="24"/>
      <c r="V1" s="24"/>
      <c r="AD1" s="529" t="s">
        <v>171</v>
      </c>
      <c r="AE1" s="529"/>
      <c r="AF1" s="529"/>
    </row>
    <row r="2" spans="1:32" ht="18.75" hidden="1" customHeight="1" outlineLevel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R2" s="24"/>
      <c r="S2" s="24"/>
      <c r="T2" s="24"/>
      <c r="U2" s="24"/>
      <c r="V2" s="24"/>
      <c r="AD2" s="529"/>
      <c r="AE2" s="529"/>
      <c r="AF2" s="529"/>
    </row>
    <row r="3" spans="1:32" ht="20.25" customHeight="1" collapsed="1">
      <c r="A3" s="16"/>
      <c r="B3" s="16"/>
      <c r="C3" s="115" t="s">
        <v>278</v>
      </c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</row>
    <row r="4" spans="1:32" ht="9" customHeight="1">
      <c r="A4" s="117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</row>
    <row r="5" spans="1:32" ht="18" customHeight="1">
      <c r="A5" s="649" t="s">
        <v>45</v>
      </c>
      <c r="B5" s="626" t="s">
        <v>137</v>
      </c>
      <c r="C5" s="628"/>
      <c r="D5" s="542" t="s">
        <v>138</v>
      </c>
      <c r="E5" s="543"/>
      <c r="F5" s="543"/>
      <c r="G5" s="548" t="s">
        <v>252</v>
      </c>
      <c r="H5" s="548"/>
      <c r="I5" s="548"/>
      <c r="J5" s="548"/>
      <c r="K5" s="548"/>
      <c r="L5" s="548"/>
      <c r="M5" s="548"/>
      <c r="N5" s="542" t="s">
        <v>139</v>
      </c>
      <c r="O5" s="543"/>
      <c r="P5" s="543"/>
      <c r="Q5" s="489"/>
      <c r="R5" s="638" t="s">
        <v>214</v>
      </c>
      <c r="S5" s="639"/>
      <c r="T5" s="639"/>
      <c r="U5" s="639"/>
      <c r="V5" s="639"/>
      <c r="W5" s="639"/>
      <c r="X5" s="639"/>
      <c r="Y5" s="639"/>
      <c r="Z5" s="639"/>
      <c r="AA5" s="639"/>
      <c r="AB5" s="639"/>
      <c r="AC5" s="639"/>
      <c r="AD5" s="639"/>
      <c r="AE5" s="639"/>
      <c r="AF5" s="640"/>
    </row>
    <row r="6" spans="1:32" ht="53.25" customHeight="1">
      <c r="A6" s="650"/>
      <c r="B6" s="632"/>
      <c r="C6" s="634"/>
      <c r="D6" s="544"/>
      <c r="E6" s="545"/>
      <c r="F6" s="545"/>
      <c r="G6" s="548"/>
      <c r="H6" s="548"/>
      <c r="I6" s="548"/>
      <c r="J6" s="548"/>
      <c r="K6" s="548"/>
      <c r="L6" s="548"/>
      <c r="M6" s="548"/>
      <c r="N6" s="544"/>
      <c r="O6" s="545"/>
      <c r="P6" s="545"/>
      <c r="Q6" s="490"/>
      <c r="R6" s="549" t="s">
        <v>140</v>
      </c>
      <c r="S6" s="550"/>
      <c r="T6" s="551"/>
      <c r="U6" s="549" t="s">
        <v>141</v>
      </c>
      <c r="V6" s="550"/>
      <c r="W6" s="551"/>
      <c r="X6" s="549" t="s">
        <v>34</v>
      </c>
      <c r="Y6" s="550"/>
      <c r="Z6" s="551"/>
      <c r="AA6" s="638" t="s">
        <v>142</v>
      </c>
      <c r="AB6" s="639"/>
      <c r="AC6" s="640"/>
      <c r="AD6" s="638" t="s">
        <v>143</v>
      </c>
      <c r="AE6" s="639"/>
      <c r="AF6" s="640"/>
    </row>
    <row r="7" spans="1:32" ht="12.75" customHeight="1">
      <c r="A7" s="230">
        <v>1</v>
      </c>
      <c r="B7" s="643">
        <v>2</v>
      </c>
      <c r="C7" s="644"/>
      <c r="D7" s="651">
        <v>3</v>
      </c>
      <c r="E7" s="652"/>
      <c r="F7" s="652"/>
      <c r="G7" s="641">
        <v>4</v>
      </c>
      <c r="H7" s="641"/>
      <c r="I7" s="641"/>
      <c r="J7" s="641"/>
      <c r="K7" s="641"/>
      <c r="L7" s="641"/>
      <c r="M7" s="641"/>
      <c r="N7" s="651">
        <v>5</v>
      </c>
      <c r="O7" s="652"/>
      <c r="P7" s="652"/>
      <c r="Q7" s="653"/>
      <c r="R7" s="654">
        <v>6</v>
      </c>
      <c r="S7" s="655"/>
      <c r="T7" s="656"/>
      <c r="U7" s="654">
        <v>7</v>
      </c>
      <c r="V7" s="655"/>
      <c r="W7" s="656"/>
      <c r="X7" s="635">
        <v>8</v>
      </c>
      <c r="Y7" s="636"/>
      <c r="Z7" s="637"/>
      <c r="AA7" s="635">
        <v>9</v>
      </c>
      <c r="AB7" s="636"/>
      <c r="AC7" s="637"/>
      <c r="AD7" s="635">
        <v>10</v>
      </c>
      <c r="AE7" s="636"/>
      <c r="AF7" s="637"/>
    </row>
    <row r="8" spans="1:32" ht="15" customHeight="1">
      <c r="A8" s="71"/>
      <c r="B8" s="645"/>
      <c r="C8" s="646"/>
      <c r="D8" s="647"/>
      <c r="E8" s="648"/>
      <c r="F8" s="648"/>
      <c r="G8" s="642"/>
      <c r="H8" s="642"/>
      <c r="I8" s="642"/>
      <c r="J8" s="642"/>
      <c r="K8" s="642"/>
      <c r="L8" s="642"/>
      <c r="M8" s="642"/>
      <c r="N8" s="606">
        <f>SUM(R8,U8,X8,AA8,AD8)</f>
        <v>0</v>
      </c>
      <c r="O8" s="610"/>
      <c r="P8" s="610"/>
      <c r="Q8" s="607"/>
      <c r="R8" s="600"/>
      <c r="S8" s="601"/>
      <c r="T8" s="602"/>
      <c r="U8" s="600"/>
      <c r="V8" s="601"/>
      <c r="W8" s="602"/>
      <c r="X8" s="600"/>
      <c r="Y8" s="601"/>
      <c r="Z8" s="602"/>
      <c r="AA8" s="600"/>
      <c r="AB8" s="601"/>
      <c r="AC8" s="602"/>
      <c r="AD8" s="600"/>
      <c r="AE8" s="601"/>
      <c r="AF8" s="602"/>
    </row>
    <row r="9" spans="1:32" ht="15" customHeight="1">
      <c r="A9" s="71"/>
      <c r="B9" s="645"/>
      <c r="C9" s="646"/>
      <c r="D9" s="647"/>
      <c r="E9" s="648"/>
      <c r="F9" s="648"/>
      <c r="G9" s="642"/>
      <c r="H9" s="642"/>
      <c r="I9" s="642"/>
      <c r="J9" s="642"/>
      <c r="K9" s="642"/>
      <c r="L9" s="642"/>
      <c r="M9" s="642"/>
      <c r="N9" s="606">
        <f>SUM(R9,U9,X9,AA9,AD9)</f>
        <v>0</v>
      </c>
      <c r="O9" s="610"/>
      <c r="P9" s="610"/>
      <c r="Q9" s="607"/>
      <c r="R9" s="600"/>
      <c r="S9" s="601"/>
      <c r="T9" s="602"/>
      <c r="U9" s="600"/>
      <c r="V9" s="601"/>
      <c r="W9" s="602"/>
      <c r="X9" s="600"/>
      <c r="Y9" s="601"/>
      <c r="Z9" s="602"/>
      <c r="AA9" s="600"/>
      <c r="AB9" s="601"/>
      <c r="AC9" s="602"/>
      <c r="AD9" s="600"/>
      <c r="AE9" s="601"/>
      <c r="AF9" s="602"/>
    </row>
    <row r="10" spans="1:32" ht="15" customHeight="1">
      <c r="A10" s="71"/>
      <c r="B10" s="645"/>
      <c r="C10" s="646"/>
      <c r="D10" s="647"/>
      <c r="E10" s="648"/>
      <c r="F10" s="648"/>
      <c r="G10" s="642"/>
      <c r="H10" s="642"/>
      <c r="I10" s="642"/>
      <c r="J10" s="642"/>
      <c r="K10" s="642"/>
      <c r="L10" s="642"/>
      <c r="M10" s="642"/>
      <c r="N10" s="606">
        <f>SUM(R10,U10,X10,AA10,AD10)</f>
        <v>0</v>
      </c>
      <c r="O10" s="610"/>
      <c r="P10" s="610"/>
      <c r="Q10" s="607"/>
      <c r="R10" s="600"/>
      <c r="S10" s="601"/>
      <c r="T10" s="602"/>
      <c r="U10" s="600"/>
      <c r="V10" s="601"/>
      <c r="W10" s="602"/>
      <c r="X10" s="600"/>
      <c r="Y10" s="601"/>
      <c r="Z10" s="602"/>
      <c r="AA10" s="600"/>
      <c r="AB10" s="601"/>
      <c r="AC10" s="602"/>
      <c r="AD10" s="600"/>
      <c r="AE10" s="601"/>
      <c r="AF10" s="602"/>
    </row>
    <row r="11" spans="1:32" ht="15" customHeight="1">
      <c r="A11" s="71"/>
      <c r="B11" s="645"/>
      <c r="C11" s="646"/>
      <c r="D11" s="647"/>
      <c r="E11" s="648"/>
      <c r="F11" s="648"/>
      <c r="G11" s="642"/>
      <c r="H11" s="642"/>
      <c r="I11" s="642"/>
      <c r="J11" s="642"/>
      <c r="K11" s="642"/>
      <c r="L11" s="642"/>
      <c r="M11" s="642"/>
      <c r="N11" s="606">
        <f>SUM(R11,U11,X11,AA11,AD11)</f>
        <v>0</v>
      </c>
      <c r="O11" s="610"/>
      <c r="P11" s="610"/>
      <c r="Q11" s="607"/>
      <c r="R11" s="600"/>
      <c r="S11" s="601"/>
      <c r="T11" s="602"/>
      <c r="U11" s="600"/>
      <c r="V11" s="601"/>
      <c r="W11" s="602"/>
      <c r="X11" s="600"/>
      <c r="Y11" s="601"/>
      <c r="Z11" s="602"/>
      <c r="AA11" s="600"/>
      <c r="AB11" s="601"/>
      <c r="AC11" s="602"/>
      <c r="AD11" s="600"/>
      <c r="AE11" s="601"/>
      <c r="AF11" s="602"/>
    </row>
    <row r="12" spans="1:32" ht="15" customHeight="1">
      <c r="A12" s="71"/>
      <c r="B12" s="645"/>
      <c r="C12" s="646"/>
      <c r="D12" s="647"/>
      <c r="E12" s="648"/>
      <c r="F12" s="648"/>
      <c r="G12" s="642"/>
      <c r="H12" s="642"/>
      <c r="I12" s="642"/>
      <c r="J12" s="642"/>
      <c r="K12" s="642"/>
      <c r="L12" s="642"/>
      <c r="M12" s="642"/>
      <c r="N12" s="606">
        <f>SUM(R12,U12,X12,AA12,AD12)</f>
        <v>0</v>
      </c>
      <c r="O12" s="610"/>
      <c r="P12" s="610"/>
      <c r="Q12" s="607"/>
      <c r="R12" s="600"/>
      <c r="S12" s="601"/>
      <c r="T12" s="602"/>
      <c r="U12" s="600"/>
      <c r="V12" s="601"/>
      <c r="W12" s="602"/>
      <c r="X12" s="600"/>
      <c r="Y12" s="601"/>
      <c r="Z12" s="602"/>
      <c r="AA12" s="600"/>
      <c r="AB12" s="601"/>
      <c r="AC12" s="602"/>
      <c r="AD12" s="600"/>
      <c r="AE12" s="601"/>
      <c r="AF12" s="602"/>
    </row>
    <row r="13" spans="1:32" ht="20.25" customHeight="1">
      <c r="A13" s="666" t="s">
        <v>49</v>
      </c>
      <c r="B13" s="667"/>
      <c r="C13" s="667"/>
      <c r="D13" s="667"/>
      <c r="E13" s="667"/>
      <c r="F13" s="667"/>
      <c r="G13" s="667"/>
      <c r="H13" s="667"/>
      <c r="I13" s="667"/>
      <c r="J13" s="667"/>
      <c r="K13" s="667"/>
      <c r="L13" s="667"/>
      <c r="M13" s="668"/>
      <c r="N13" s="606">
        <f>SUM(N8:Q12)</f>
        <v>0</v>
      </c>
      <c r="O13" s="610"/>
      <c r="P13" s="610"/>
      <c r="Q13" s="607"/>
      <c r="R13" s="606">
        <f>SUM(R8:T12)</f>
        <v>0</v>
      </c>
      <c r="S13" s="610"/>
      <c r="T13" s="607"/>
      <c r="U13" s="606">
        <f>SUM(U8:W12)</f>
        <v>0</v>
      </c>
      <c r="V13" s="610"/>
      <c r="W13" s="607"/>
      <c r="X13" s="606">
        <f>SUM(X8:Z12)</f>
        <v>0</v>
      </c>
      <c r="Y13" s="610"/>
      <c r="Z13" s="607"/>
      <c r="AA13" s="606">
        <f>SUM(AA8:AC12)</f>
        <v>0</v>
      </c>
      <c r="AB13" s="610"/>
      <c r="AC13" s="607"/>
      <c r="AD13" s="606">
        <f>SUM(AD8:AF12)</f>
        <v>0</v>
      </c>
      <c r="AE13" s="610"/>
      <c r="AF13" s="607"/>
    </row>
    <row r="14" spans="1:32" ht="7.5" customHeight="1">
      <c r="A14" s="118"/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20"/>
      <c r="AF14" s="120"/>
    </row>
    <row r="15" spans="1:32" s="32" customFormat="1" ht="16.5" customHeight="1">
      <c r="A15" s="115"/>
      <c r="B15" s="115"/>
      <c r="C15" s="115" t="s">
        <v>279</v>
      </c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</row>
    <row r="16" spans="1:32" s="32" customFormat="1" ht="8.25" customHeight="1">
      <c r="A16" s="115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</row>
    <row r="17" spans="1:32" ht="17.25" customHeight="1">
      <c r="A17" s="507" t="s">
        <v>45</v>
      </c>
      <c r="B17" s="626" t="s">
        <v>144</v>
      </c>
      <c r="C17" s="628"/>
      <c r="D17" s="548" t="s">
        <v>137</v>
      </c>
      <c r="E17" s="548"/>
      <c r="F17" s="548"/>
      <c r="G17" s="548"/>
      <c r="H17" s="548" t="s">
        <v>252</v>
      </c>
      <c r="I17" s="548"/>
      <c r="J17" s="548"/>
      <c r="K17" s="548"/>
      <c r="L17" s="548"/>
      <c r="M17" s="548"/>
      <c r="N17" s="548"/>
      <c r="O17" s="548"/>
      <c r="P17" s="548"/>
      <c r="Q17" s="548"/>
      <c r="R17" s="548" t="s">
        <v>145</v>
      </c>
      <c r="S17" s="548"/>
      <c r="T17" s="548"/>
      <c r="U17" s="548"/>
      <c r="V17" s="548"/>
      <c r="W17" s="609" t="s">
        <v>146</v>
      </c>
      <c r="X17" s="609"/>
      <c r="Y17" s="609"/>
      <c r="Z17" s="609"/>
      <c r="AA17" s="609"/>
      <c r="AB17" s="609"/>
      <c r="AC17" s="609"/>
      <c r="AD17" s="609"/>
      <c r="AE17" s="609"/>
      <c r="AF17" s="609"/>
    </row>
    <row r="18" spans="1:32" ht="20.25" customHeight="1">
      <c r="A18" s="507"/>
      <c r="B18" s="629"/>
      <c r="C18" s="631"/>
      <c r="D18" s="548"/>
      <c r="E18" s="548"/>
      <c r="F18" s="548"/>
      <c r="G18" s="548"/>
      <c r="H18" s="548"/>
      <c r="I18" s="548"/>
      <c r="J18" s="548"/>
      <c r="K18" s="548"/>
      <c r="L18" s="548"/>
      <c r="M18" s="548"/>
      <c r="N18" s="548"/>
      <c r="O18" s="548"/>
      <c r="P18" s="548"/>
      <c r="Q18" s="548"/>
      <c r="R18" s="548"/>
      <c r="S18" s="548"/>
      <c r="T18" s="548"/>
      <c r="U18" s="548"/>
      <c r="V18" s="548"/>
      <c r="W18" s="542" t="s">
        <v>219</v>
      </c>
      <c r="X18" s="489"/>
      <c r="Y18" s="542" t="s">
        <v>175</v>
      </c>
      <c r="Z18" s="489"/>
      <c r="AA18" s="542" t="s">
        <v>176</v>
      </c>
      <c r="AB18" s="489"/>
      <c r="AC18" s="542" t="s">
        <v>197</v>
      </c>
      <c r="AD18" s="489"/>
      <c r="AE18" s="542" t="s">
        <v>198</v>
      </c>
      <c r="AF18" s="489"/>
    </row>
    <row r="19" spans="1:32" ht="9" customHeight="1">
      <c r="A19" s="507"/>
      <c r="B19" s="632"/>
      <c r="C19" s="634"/>
      <c r="D19" s="548"/>
      <c r="E19" s="548"/>
      <c r="F19" s="548"/>
      <c r="G19" s="548"/>
      <c r="H19" s="548"/>
      <c r="I19" s="548"/>
      <c r="J19" s="548"/>
      <c r="K19" s="548"/>
      <c r="L19" s="548"/>
      <c r="M19" s="548"/>
      <c r="N19" s="548"/>
      <c r="O19" s="548"/>
      <c r="P19" s="548"/>
      <c r="Q19" s="548"/>
      <c r="R19" s="548"/>
      <c r="S19" s="548"/>
      <c r="T19" s="548"/>
      <c r="U19" s="548"/>
      <c r="V19" s="548"/>
      <c r="W19" s="544"/>
      <c r="X19" s="490"/>
      <c r="Y19" s="544"/>
      <c r="Z19" s="490"/>
      <c r="AA19" s="544"/>
      <c r="AB19" s="490"/>
      <c r="AC19" s="544"/>
      <c r="AD19" s="490"/>
      <c r="AE19" s="544"/>
      <c r="AF19" s="490"/>
    </row>
    <row r="20" spans="1:32" ht="12" customHeight="1">
      <c r="A20" s="104">
        <v>1</v>
      </c>
      <c r="B20" s="664">
        <v>2</v>
      </c>
      <c r="C20" s="665"/>
      <c r="D20" s="464">
        <v>3</v>
      </c>
      <c r="E20" s="464"/>
      <c r="F20" s="464"/>
      <c r="G20" s="464"/>
      <c r="H20" s="464">
        <v>4</v>
      </c>
      <c r="I20" s="464"/>
      <c r="J20" s="464"/>
      <c r="K20" s="464"/>
      <c r="L20" s="464"/>
      <c r="M20" s="464"/>
      <c r="N20" s="464"/>
      <c r="O20" s="464"/>
      <c r="P20" s="464"/>
      <c r="Q20" s="464"/>
      <c r="R20" s="464">
        <v>5</v>
      </c>
      <c r="S20" s="464"/>
      <c r="T20" s="464"/>
      <c r="U20" s="464"/>
      <c r="V20" s="464"/>
      <c r="W20" s="538">
        <v>6</v>
      </c>
      <c r="X20" s="539"/>
      <c r="Y20" s="560">
        <v>7</v>
      </c>
      <c r="Z20" s="561"/>
      <c r="AA20" s="560">
        <v>8</v>
      </c>
      <c r="AB20" s="561"/>
      <c r="AC20" s="560">
        <v>9</v>
      </c>
      <c r="AD20" s="561"/>
      <c r="AE20" s="554">
        <v>10</v>
      </c>
      <c r="AF20" s="554"/>
    </row>
    <row r="21" spans="1:32" ht="15" customHeight="1">
      <c r="A21" s="63"/>
      <c r="B21" s="658"/>
      <c r="C21" s="659"/>
      <c r="D21" s="642"/>
      <c r="E21" s="642"/>
      <c r="F21" s="642"/>
      <c r="G21" s="642"/>
      <c r="H21" s="657"/>
      <c r="I21" s="657"/>
      <c r="J21" s="657"/>
      <c r="K21" s="657"/>
      <c r="L21" s="657"/>
      <c r="M21" s="657"/>
      <c r="N21" s="657"/>
      <c r="O21" s="657"/>
      <c r="P21" s="657"/>
      <c r="Q21" s="657"/>
      <c r="R21" s="669"/>
      <c r="S21" s="669"/>
      <c r="T21" s="669"/>
      <c r="U21" s="669"/>
      <c r="V21" s="669"/>
      <c r="W21" s="600"/>
      <c r="X21" s="602"/>
      <c r="Y21" s="600"/>
      <c r="Z21" s="602"/>
      <c r="AA21" s="600"/>
      <c r="AB21" s="602"/>
      <c r="AC21" s="606">
        <f t="shared" ref="AC21:AC26" si="0">AA21-Y21</f>
        <v>0</v>
      </c>
      <c r="AD21" s="607"/>
      <c r="AE21" s="603"/>
      <c r="AF21" s="604"/>
    </row>
    <row r="22" spans="1:32" ht="15" customHeight="1">
      <c r="A22" s="63"/>
      <c r="B22" s="658"/>
      <c r="C22" s="659"/>
      <c r="D22" s="642"/>
      <c r="E22" s="642"/>
      <c r="F22" s="642"/>
      <c r="G22" s="642"/>
      <c r="H22" s="657"/>
      <c r="I22" s="657"/>
      <c r="J22" s="657"/>
      <c r="K22" s="657"/>
      <c r="L22" s="657"/>
      <c r="M22" s="657"/>
      <c r="N22" s="657"/>
      <c r="O22" s="657"/>
      <c r="P22" s="657"/>
      <c r="Q22" s="657"/>
      <c r="R22" s="669"/>
      <c r="S22" s="669"/>
      <c r="T22" s="669"/>
      <c r="U22" s="669"/>
      <c r="V22" s="669"/>
      <c r="W22" s="600"/>
      <c r="X22" s="602"/>
      <c r="Y22" s="600"/>
      <c r="Z22" s="602"/>
      <c r="AA22" s="600"/>
      <c r="AB22" s="602"/>
      <c r="AC22" s="606">
        <f t="shared" si="0"/>
        <v>0</v>
      </c>
      <c r="AD22" s="607"/>
      <c r="AE22" s="603"/>
      <c r="AF22" s="604"/>
    </row>
    <row r="23" spans="1:32" ht="15" customHeight="1">
      <c r="A23" s="63"/>
      <c r="B23" s="658"/>
      <c r="C23" s="659"/>
      <c r="D23" s="642"/>
      <c r="E23" s="642"/>
      <c r="F23" s="642"/>
      <c r="G23" s="642"/>
      <c r="H23" s="657"/>
      <c r="I23" s="657"/>
      <c r="J23" s="657"/>
      <c r="K23" s="657"/>
      <c r="L23" s="657"/>
      <c r="M23" s="657"/>
      <c r="N23" s="657"/>
      <c r="O23" s="657"/>
      <c r="P23" s="657"/>
      <c r="Q23" s="657"/>
      <c r="R23" s="669"/>
      <c r="S23" s="669"/>
      <c r="T23" s="669"/>
      <c r="U23" s="669"/>
      <c r="V23" s="669"/>
      <c r="W23" s="600"/>
      <c r="X23" s="602"/>
      <c r="Y23" s="600"/>
      <c r="Z23" s="602"/>
      <c r="AA23" s="600"/>
      <c r="AB23" s="602"/>
      <c r="AC23" s="606">
        <f t="shared" si="0"/>
        <v>0</v>
      </c>
      <c r="AD23" s="607"/>
      <c r="AE23" s="603"/>
      <c r="AF23" s="604"/>
    </row>
    <row r="24" spans="1:32" ht="15" customHeight="1">
      <c r="A24" s="63"/>
      <c r="B24" s="658"/>
      <c r="C24" s="659"/>
      <c r="D24" s="642"/>
      <c r="E24" s="642"/>
      <c r="F24" s="642"/>
      <c r="G24" s="642"/>
      <c r="H24" s="657"/>
      <c r="I24" s="657"/>
      <c r="J24" s="657"/>
      <c r="K24" s="657"/>
      <c r="L24" s="657"/>
      <c r="M24" s="657"/>
      <c r="N24" s="657"/>
      <c r="O24" s="657"/>
      <c r="P24" s="657"/>
      <c r="Q24" s="657"/>
      <c r="R24" s="669"/>
      <c r="S24" s="669"/>
      <c r="T24" s="669"/>
      <c r="U24" s="669"/>
      <c r="V24" s="669"/>
      <c r="W24" s="600"/>
      <c r="X24" s="602"/>
      <c r="Y24" s="600"/>
      <c r="Z24" s="602"/>
      <c r="AA24" s="600"/>
      <c r="AB24" s="602"/>
      <c r="AC24" s="606">
        <f t="shared" si="0"/>
        <v>0</v>
      </c>
      <c r="AD24" s="607"/>
      <c r="AE24" s="603"/>
      <c r="AF24" s="604"/>
    </row>
    <row r="25" spans="1:32" ht="15" customHeight="1">
      <c r="A25" s="63"/>
      <c r="B25" s="658"/>
      <c r="C25" s="659"/>
      <c r="D25" s="642"/>
      <c r="E25" s="642"/>
      <c r="F25" s="642"/>
      <c r="G25" s="642"/>
      <c r="H25" s="657"/>
      <c r="I25" s="657"/>
      <c r="J25" s="657"/>
      <c r="K25" s="657"/>
      <c r="L25" s="657"/>
      <c r="M25" s="657"/>
      <c r="N25" s="657"/>
      <c r="O25" s="657"/>
      <c r="P25" s="657"/>
      <c r="Q25" s="657"/>
      <c r="R25" s="669"/>
      <c r="S25" s="669"/>
      <c r="T25" s="669"/>
      <c r="U25" s="669"/>
      <c r="V25" s="669"/>
      <c r="W25" s="600"/>
      <c r="X25" s="602"/>
      <c r="Y25" s="600"/>
      <c r="Z25" s="602"/>
      <c r="AA25" s="600"/>
      <c r="AB25" s="602"/>
      <c r="AC25" s="606">
        <f t="shared" si="0"/>
        <v>0</v>
      </c>
      <c r="AD25" s="607"/>
      <c r="AE25" s="603"/>
      <c r="AF25" s="604"/>
    </row>
    <row r="26" spans="1:32" ht="24.95" customHeight="1">
      <c r="A26" s="670" t="s">
        <v>49</v>
      </c>
      <c r="B26" s="670"/>
      <c r="C26" s="670"/>
      <c r="D26" s="670"/>
      <c r="E26" s="670"/>
      <c r="F26" s="670"/>
      <c r="G26" s="670"/>
      <c r="H26" s="670"/>
      <c r="I26" s="670"/>
      <c r="J26" s="670"/>
      <c r="K26" s="670"/>
      <c r="L26" s="670"/>
      <c r="M26" s="670"/>
      <c r="N26" s="670"/>
      <c r="O26" s="670"/>
      <c r="P26" s="670"/>
      <c r="Q26" s="670"/>
      <c r="R26" s="670"/>
      <c r="S26" s="670"/>
      <c r="T26" s="670"/>
      <c r="U26" s="670"/>
      <c r="V26" s="670"/>
      <c r="W26" s="606">
        <f>SUM(W21:X25)</f>
        <v>0</v>
      </c>
      <c r="X26" s="607"/>
      <c r="Y26" s="606">
        <f>SUM(Y21:Z25)</f>
        <v>0</v>
      </c>
      <c r="Z26" s="607"/>
      <c r="AA26" s="606">
        <f>SUM(AA21:AB25)</f>
        <v>0</v>
      </c>
      <c r="AB26" s="607"/>
      <c r="AC26" s="606">
        <f t="shared" si="0"/>
        <v>0</v>
      </c>
      <c r="AD26" s="607"/>
      <c r="AE26" s="603"/>
      <c r="AF26" s="604"/>
    </row>
    <row r="27" spans="1:32" ht="6" customHeight="1">
      <c r="A27" s="87"/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16"/>
      <c r="R27" s="123"/>
      <c r="S27" s="123"/>
      <c r="T27" s="123"/>
      <c r="U27" s="123"/>
      <c r="V27" s="123"/>
      <c r="W27" s="16"/>
      <c r="X27" s="16"/>
      <c r="Y27" s="16"/>
      <c r="Z27" s="16"/>
      <c r="AA27" s="16"/>
      <c r="AB27" s="16"/>
      <c r="AC27" s="16"/>
      <c r="AD27" s="16"/>
      <c r="AE27" s="16"/>
      <c r="AF27" s="123"/>
    </row>
    <row r="28" spans="1:32" s="32" customFormat="1" ht="15.75" customHeight="1">
      <c r="A28" s="115"/>
      <c r="B28" s="115"/>
      <c r="C28" s="453" t="s">
        <v>280</v>
      </c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</row>
    <row r="29" spans="1:32" ht="11.25" customHeight="1">
      <c r="A29" s="124"/>
      <c r="B29" s="124"/>
      <c r="C29" s="124"/>
      <c r="D29" s="124"/>
      <c r="E29" s="124"/>
      <c r="F29" s="124"/>
      <c r="G29" s="124"/>
      <c r="H29" s="124"/>
      <c r="I29" s="125"/>
      <c r="J29" s="125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4"/>
      <c r="X29" s="16"/>
      <c r="Y29" s="16"/>
      <c r="Z29" s="608"/>
      <c r="AA29" s="608"/>
      <c r="AB29" s="608"/>
      <c r="AC29" s="16"/>
      <c r="AD29" s="605" t="s">
        <v>167</v>
      </c>
      <c r="AE29" s="605"/>
      <c r="AF29" s="605"/>
    </row>
    <row r="30" spans="1:32" ht="45.75" customHeight="1">
      <c r="A30" s="671" t="s">
        <v>45</v>
      </c>
      <c r="B30" s="626" t="s">
        <v>179</v>
      </c>
      <c r="C30" s="627"/>
      <c r="D30" s="627"/>
      <c r="E30" s="627"/>
      <c r="F30" s="627"/>
      <c r="G30" s="627"/>
      <c r="H30" s="627"/>
      <c r="I30" s="627"/>
      <c r="J30" s="627"/>
      <c r="K30" s="627"/>
      <c r="L30" s="628"/>
      <c r="M30" s="611" t="s">
        <v>48</v>
      </c>
      <c r="N30" s="612"/>
      <c r="O30" s="612"/>
      <c r="P30" s="612"/>
      <c r="Q30" s="612"/>
      <c r="R30" s="612"/>
      <c r="S30" s="612"/>
      <c r="T30" s="613"/>
      <c r="U30" s="611" t="s">
        <v>75</v>
      </c>
      <c r="V30" s="612"/>
      <c r="W30" s="612"/>
      <c r="X30" s="612"/>
      <c r="Y30" s="612"/>
      <c r="Z30" s="612"/>
      <c r="AA30" s="612"/>
      <c r="AB30" s="613"/>
      <c r="AC30" s="611" t="s">
        <v>281</v>
      </c>
      <c r="AD30" s="612"/>
      <c r="AE30" s="612"/>
      <c r="AF30" s="613"/>
    </row>
    <row r="31" spans="1:32" ht="24.95" customHeight="1">
      <c r="A31" s="672"/>
      <c r="B31" s="629"/>
      <c r="C31" s="630"/>
      <c r="D31" s="630"/>
      <c r="E31" s="630"/>
      <c r="F31" s="630"/>
      <c r="G31" s="630"/>
      <c r="H31" s="630"/>
      <c r="I31" s="630"/>
      <c r="J31" s="630"/>
      <c r="K31" s="630"/>
      <c r="L31" s="631"/>
      <c r="M31" s="660" t="s">
        <v>175</v>
      </c>
      <c r="N31" s="661"/>
      <c r="O31" s="660" t="s">
        <v>176</v>
      </c>
      <c r="P31" s="661"/>
      <c r="Q31" s="660" t="s">
        <v>197</v>
      </c>
      <c r="R31" s="661"/>
      <c r="S31" s="660" t="s">
        <v>198</v>
      </c>
      <c r="T31" s="661"/>
      <c r="U31" s="660" t="s">
        <v>175</v>
      </c>
      <c r="V31" s="661"/>
      <c r="W31" s="660" t="s">
        <v>176</v>
      </c>
      <c r="X31" s="661"/>
      <c r="Y31" s="660" t="s">
        <v>197</v>
      </c>
      <c r="Z31" s="661"/>
      <c r="AA31" s="660" t="s">
        <v>198</v>
      </c>
      <c r="AB31" s="661"/>
      <c r="AC31" s="614" t="s">
        <v>175</v>
      </c>
      <c r="AD31" s="614" t="s">
        <v>176</v>
      </c>
      <c r="AE31" s="614" t="s">
        <v>197</v>
      </c>
      <c r="AF31" s="614" t="s">
        <v>198</v>
      </c>
    </row>
    <row r="32" spans="1:32" ht="18" customHeight="1">
      <c r="A32" s="673"/>
      <c r="B32" s="632"/>
      <c r="C32" s="633"/>
      <c r="D32" s="633"/>
      <c r="E32" s="633"/>
      <c r="F32" s="633"/>
      <c r="G32" s="633"/>
      <c r="H32" s="633"/>
      <c r="I32" s="633"/>
      <c r="J32" s="633"/>
      <c r="K32" s="633"/>
      <c r="L32" s="634"/>
      <c r="M32" s="662"/>
      <c r="N32" s="663"/>
      <c r="O32" s="662"/>
      <c r="P32" s="663"/>
      <c r="Q32" s="662"/>
      <c r="R32" s="663"/>
      <c r="S32" s="662"/>
      <c r="T32" s="663"/>
      <c r="U32" s="662"/>
      <c r="V32" s="663"/>
      <c r="W32" s="662"/>
      <c r="X32" s="663"/>
      <c r="Y32" s="662"/>
      <c r="Z32" s="663"/>
      <c r="AA32" s="662"/>
      <c r="AB32" s="663"/>
      <c r="AC32" s="615"/>
      <c r="AD32" s="615"/>
      <c r="AE32" s="615"/>
      <c r="AF32" s="615"/>
    </row>
    <row r="33" spans="1:32" ht="12" customHeight="1">
      <c r="A33" s="63">
        <v>1</v>
      </c>
      <c r="B33" s="676">
        <v>2</v>
      </c>
      <c r="C33" s="676"/>
      <c r="D33" s="676"/>
      <c r="E33" s="676"/>
      <c r="F33" s="676"/>
      <c r="G33" s="676"/>
      <c r="H33" s="676"/>
      <c r="I33" s="676"/>
      <c r="J33" s="676"/>
      <c r="K33" s="676"/>
      <c r="L33" s="676"/>
      <c r="M33" s="620">
        <v>3</v>
      </c>
      <c r="N33" s="621"/>
      <c r="O33" s="620">
        <v>4</v>
      </c>
      <c r="P33" s="621"/>
      <c r="Q33" s="620">
        <v>5</v>
      </c>
      <c r="R33" s="621"/>
      <c r="S33" s="620">
        <v>9</v>
      </c>
      <c r="T33" s="621"/>
      <c r="U33" s="620">
        <v>7</v>
      </c>
      <c r="V33" s="621"/>
      <c r="W33" s="620">
        <v>8</v>
      </c>
      <c r="X33" s="621"/>
      <c r="Y33" s="620">
        <v>9</v>
      </c>
      <c r="Z33" s="621"/>
      <c r="AA33" s="620">
        <v>10</v>
      </c>
      <c r="AB33" s="621"/>
      <c r="AC33" s="126">
        <v>11</v>
      </c>
      <c r="AD33" s="126">
        <v>12</v>
      </c>
      <c r="AE33" s="126">
        <v>13</v>
      </c>
      <c r="AF33" s="126">
        <v>14</v>
      </c>
    </row>
    <row r="34" spans="1:32" ht="15" customHeight="1">
      <c r="A34" s="71"/>
      <c r="B34" s="623" t="s">
        <v>501</v>
      </c>
      <c r="C34" s="623"/>
      <c r="D34" s="623"/>
      <c r="E34" s="623"/>
      <c r="F34" s="623"/>
      <c r="G34" s="623"/>
      <c r="H34" s="623"/>
      <c r="I34" s="623"/>
      <c r="J34" s="623"/>
      <c r="K34" s="623"/>
      <c r="L34" s="623"/>
      <c r="M34" s="600"/>
      <c r="N34" s="602"/>
      <c r="O34" s="600"/>
      <c r="P34" s="602"/>
      <c r="Q34" s="606">
        <f t="shared" ref="Q34:Q39" si="1">O34-M34</f>
        <v>0</v>
      </c>
      <c r="R34" s="607"/>
      <c r="S34" s="603"/>
      <c r="T34" s="604"/>
      <c r="U34" s="600"/>
      <c r="V34" s="602"/>
      <c r="W34" s="600"/>
      <c r="X34" s="602"/>
      <c r="Y34" s="606">
        <f t="shared" ref="Y34:Y39" si="2">W34-U34</f>
        <v>0</v>
      </c>
      <c r="Z34" s="607"/>
      <c r="AA34" s="603"/>
      <c r="AB34" s="604"/>
      <c r="AC34" s="121">
        <f>'IV. Кап. інвестиції'!E8</f>
        <v>50</v>
      </c>
      <c r="AD34" s="404">
        <f>'IV. Кап. інвестиції'!F8</f>
        <v>16</v>
      </c>
      <c r="AE34" s="122"/>
      <c r="AF34" s="127"/>
    </row>
    <row r="35" spans="1:32" ht="15" customHeight="1">
      <c r="A35" s="71"/>
      <c r="B35" s="623"/>
      <c r="C35" s="623"/>
      <c r="D35" s="623"/>
      <c r="E35" s="623"/>
      <c r="F35" s="623"/>
      <c r="G35" s="623"/>
      <c r="H35" s="623"/>
      <c r="I35" s="623"/>
      <c r="J35" s="623"/>
      <c r="K35" s="623"/>
      <c r="L35" s="623"/>
      <c r="M35" s="600"/>
      <c r="N35" s="602"/>
      <c r="O35" s="600"/>
      <c r="P35" s="602"/>
      <c r="Q35" s="606">
        <f t="shared" si="1"/>
        <v>0</v>
      </c>
      <c r="R35" s="607"/>
      <c r="S35" s="603"/>
      <c r="T35" s="604"/>
      <c r="U35" s="600"/>
      <c r="V35" s="602"/>
      <c r="W35" s="600"/>
      <c r="X35" s="602"/>
      <c r="Y35" s="606">
        <f t="shared" si="2"/>
        <v>0</v>
      </c>
      <c r="Z35" s="607"/>
      <c r="AA35" s="603"/>
      <c r="AB35" s="604"/>
      <c r="AC35" s="121"/>
      <c r="AD35" s="121"/>
      <c r="AE35" s="122"/>
      <c r="AF35" s="127"/>
    </row>
    <row r="36" spans="1:32" ht="15" customHeight="1">
      <c r="A36" s="71"/>
      <c r="B36" s="623"/>
      <c r="C36" s="623"/>
      <c r="D36" s="623"/>
      <c r="E36" s="623"/>
      <c r="F36" s="623"/>
      <c r="G36" s="623"/>
      <c r="H36" s="623"/>
      <c r="I36" s="623"/>
      <c r="J36" s="623"/>
      <c r="K36" s="623"/>
      <c r="L36" s="623"/>
      <c r="M36" s="600"/>
      <c r="N36" s="602"/>
      <c r="O36" s="600"/>
      <c r="P36" s="602"/>
      <c r="Q36" s="606">
        <f t="shared" si="1"/>
        <v>0</v>
      </c>
      <c r="R36" s="607"/>
      <c r="S36" s="603"/>
      <c r="T36" s="604"/>
      <c r="U36" s="600"/>
      <c r="V36" s="602"/>
      <c r="W36" s="600"/>
      <c r="X36" s="602"/>
      <c r="Y36" s="606">
        <f t="shared" si="2"/>
        <v>0</v>
      </c>
      <c r="Z36" s="607"/>
      <c r="AA36" s="603"/>
      <c r="AB36" s="604"/>
      <c r="AC36" s="121"/>
      <c r="AD36" s="121"/>
      <c r="AE36" s="122"/>
      <c r="AF36" s="127"/>
    </row>
    <row r="37" spans="1:32" ht="15" customHeight="1">
      <c r="A37" s="71"/>
      <c r="B37" s="623"/>
      <c r="C37" s="623"/>
      <c r="D37" s="623"/>
      <c r="E37" s="623"/>
      <c r="F37" s="623"/>
      <c r="G37" s="623"/>
      <c r="H37" s="623"/>
      <c r="I37" s="623"/>
      <c r="J37" s="623"/>
      <c r="K37" s="623"/>
      <c r="L37" s="623"/>
      <c r="M37" s="600"/>
      <c r="N37" s="602"/>
      <c r="O37" s="600"/>
      <c r="P37" s="602"/>
      <c r="Q37" s="606">
        <f t="shared" si="1"/>
        <v>0</v>
      </c>
      <c r="R37" s="607"/>
      <c r="S37" s="603"/>
      <c r="T37" s="604"/>
      <c r="U37" s="600"/>
      <c r="V37" s="602"/>
      <c r="W37" s="600"/>
      <c r="X37" s="602"/>
      <c r="Y37" s="606">
        <f t="shared" si="2"/>
        <v>0</v>
      </c>
      <c r="Z37" s="607"/>
      <c r="AA37" s="603"/>
      <c r="AB37" s="604"/>
      <c r="AC37" s="121"/>
      <c r="AD37" s="121"/>
      <c r="AE37" s="122"/>
      <c r="AF37" s="127"/>
    </row>
    <row r="38" spans="1:32" ht="15" customHeight="1">
      <c r="A38" s="71"/>
      <c r="B38" s="623"/>
      <c r="C38" s="623"/>
      <c r="D38" s="623"/>
      <c r="E38" s="623"/>
      <c r="F38" s="623"/>
      <c r="G38" s="623"/>
      <c r="H38" s="623"/>
      <c r="I38" s="623"/>
      <c r="J38" s="623"/>
      <c r="K38" s="623"/>
      <c r="L38" s="623"/>
      <c r="M38" s="600"/>
      <c r="N38" s="602"/>
      <c r="O38" s="600"/>
      <c r="P38" s="602"/>
      <c r="Q38" s="606">
        <f t="shared" si="1"/>
        <v>0</v>
      </c>
      <c r="R38" s="607"/>
      <c r="S38" s="603"/>
      <c r="T38" s="604"/>
      <c r="U38" s="600"/>
      <c r="V38" s="602"/>
      <c r="W38" s="600"/>
      <c r="X38" s="602"/>
      <c r="Y38" s="606">
        <f t="shared" si="2"/>
        <v>0</v>
      </c>
      <c r="Z38" s="607"/>
      <c r="AA38" s="603"/>
      <c r="AB38" s="604"/>
      <c r="AC38" s="121"/>
      <c r="AD38" s="121"/>
      <c r="AE38" s="122"/>
      <c r="AF38" s="127"/>
    </row>
    <row r="39" spans="1:32" ht="21" customHeight="1">
      <c r="A39" s="678" t="s">
        <v>49</v>
      </c>
      <c r="B39" s="679"/>
      <c r="C39" s="679"/>
      <c r="D39" s="679"/>
      <c r="E39" s="679"/>
      <c r="F39" s="679"/>
      <c r="G39" s="679"/>
      <c r="H39" s="679"/>
      <c r="I39" s="679"/>
      <c r="J39" s="679"/>
      <c r="K39" s="679"/>
      <c r="L39" s="680"/>
      <c r="M39" s="606">
        <f>SUM(M34:M38)</f>
        <v>0</v>
      </c>
      <c r="N39" s="607"/>
      <c r="O39" s="606">
        <f>SUM(O34:O38)</f>
        <v>0</v>
      </c>
      <c r="P39" s="607"/>
      <c r="Q39" s="606">
        <f t="shared" si="1"/>
        <v>0</v>
      </c>
      <c r="R39" s="607"/>
      <c r="S39" s="603"/>
      <c r="T39" s="604"/>
      <c r="U39" s="606">
        <f>SUM(U34:U38)</f>
        <v>0</v>
      </c>
      <c r="V39" s="607"/>
      <c r="W39" s="606">
        <f>SUM(W34:W38)</f>
        <v>0</v>
      </c>
      <c r="X39" s="607"/>
      <c r="Y39" s="606">
        <f t="shared" si="2"/>
        <v>0</v>
      </c>
      <c r="Z39" s="607"/>
      <c r="AA39" s="603"/>
      <c r="AB39" s="604"/>
      <c r="AC39" s="122">
        <f>SUM(AC34:AC38)</f>
        <v>50</v>
      </c>
      <c r="AD39" s="405">
        <f>SUM(AD34:AD38)</f>
        <v>16</v>
      </c>
      <c r="AE39" s="122"/>
      <c r="AF39" s="127"/>
    </row>
    <row r="40" spans="1:32" ht="14.25" customHeight="1">
      <c r="A40" s="678" t="s">
        <v>50</v>
      </c>
      <c r="B40" s="679"/>
      <c r="C40" s="679"/>
      <c r="D40" s="679"/>
      <c r="E40" s="679"/>
      <c r="F40" s="679"/>
      <c r="G40" s="679"/>
      <c r="H40" s="679"/>
      <c r="I40" s="679"/>
      <c r="J40" s="679"/>
      <c r="K40" s="679"/>
      <c r="L40" s="680"/>
      <c r="M40" s="603"/>
      <c r="N40" s="604"/>
      <c r="O40" s="603"/>
      <c r="P40" s="604"/>
      <c r="Q40" s="603"/>
      <c r="R40" s="604"/>
      <c r="S40" s="624"/>
      <c r="T40" s="625"/>
      <c r="U40" s="603"/>
      <c r="V40" s="604"/>
      <c r="W40" s="603"/>
      <c r="X40" s="604"/>
      <c r="Y40" s="603"/>
      <c r="Z40" s="604"/>
      <c r="AA40" s="624"/>
      <c r="AB40" s="625"/>
      <c r="AC40" s="127"/>
      <c r="AD40" s="127"/>
      <c r="AE40" s="128"/>
      <c r="AF40" s="128"/>
    </row>
    <row r="41" spans="1:32" ht="15" customHeight="1">
      <c r="A41" s="129"/>
      <c r="B41" s="129"/>
      <c r="C41" s="129"/>
      <c r="D41" s="130"/>
      <c r="E41" s="130"/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6"/>
      <c r="X41" s="16"/>
      <c r="Y41" s="16"/>
      <c r="Z41" s="16"/>
      <c r="AA41" s="16"/>
      <c r="AB41" s="16"/>
      <c r="AC41" s="16"/>
      <c r="AD41" s="16"/>
      <c r="AE41" s="16"/>
      <c r="AF41" s="16"/>
    </row>
    <row r="42" spans="1:32" ht="19.5" customHeight="1">
      <c r="A42" s="671" t="s">
        <v>45</v>
      </c>
      <c r="B42" s="626" t="s">
        <v>179</v>
      </c>
      <c r="C42" s="627"/>
      <c r="D42" s="627"/>
      <c r="E42" s="627"/>
      <c r="F42" s="627"/>
      <c r="G42" s="627"/>
      <c r="H42" s="627"/>
      <c r="I42" s="627"/>
      <c r="J42" s="627"/>
      <c r="K42" s="627"/>
      <c r="L42" s="628"/>
      <c r="M42" s="611" t="s">
        <v>282</v>
      </c>
      <c r="N42" s="612"/>
      <c r="O42" s="612"/>
      <c r="P42" s="612"/>
      <c r="Q42" s="612"/>
      <c r="R42" s="612"/>
      <c r="S42" s="612"/>
      <c r="T42" s="613"/>
      <c r="U42" s="611" t="s">
        <v>92</v>
      </c>
      <c r="V42" s="612"/>
      <c r="W42" s="612"/>
      <c r="X42" s="612"/>
      <c r="Y42" s="612"/>
      <c r="Z42" s="612"/>
      <c r="AA42" s="612"/>
      <c r="AB42" s="613"/>
      <c r="AC42" s="611" t="s">
        <v>283</v>
      </c>
      <c r="AD42" s="612"/>
      <c r="AE42" s="612"/>
      <c r="AF42" s="613"/>
    </row>
    <row r="43" spans="1:32" ht="15.75" customHeight="1">
      <c r="A43" s="672"/>
      <c r="B43" s="629"/>
      <c r="C43" s="630"/>
      <c r="D43" s="630"/>
      <c r="E43" s="630"/>
      <c r="F43" s="630"/>
      <c r="G43" s="630"/>
      <c r="H43" s="630"/>
      <c r="I43" s="630"/>
      <c r="J43" s="630"/>
      <c r="K43" s="630"/>
      <c r="L43" s="631"/>
      <c r="M43" s="660" t="s">
        <v>175</v>
      </c>
      <c r="N43" s="661"/>
      <c r="O43" s="660" t="s">
        <v>176</v>
      </c>
      <c r="P43" s="661"/>
      <c r="Q43" s="660" t="s">
        <v>197</v>
      </c>
      <c r="R43" s="661"/>
      <c r="S43" s="660" t="s">
        <v>198</v>
      </c>
      <c r="T43" s="661"/>
      <c r="U43" s="660" t="s">
        <v>175</v>
      </c>
      <c r="V43" s="661"/>
      <c r="W43" s="660" t="s">
        <v>176</v>
      </c>
      <c r="X43" s="661"/>
      <c r="Y43" s="660" t="s">
        <v>197</v>
      </c>
      <c r="Z43" s="661"/>
      <c r="AA43" s="660" t="s">
        <v>198</v>
      </c>
      <c r="AB43" s="661"/>
      <c r="AC43" s="614" t="s">
        <v>175</v>
      </c>
      <c r="AD43" s="614" t="s">
        <v>176</v>
      </c>
      <c r="AE43" s="614" t="s">
        <v>197</v>
      </c>
      <c r="AF43" s="614" t="s">
        <v>198</v>
      </c>
    </row>
    <row r="44" spans="1:32" ht="25.5" customHeight="1">
      <c r="A44" s="672"/>
      <c r="B44" s="629"/>
      <c r="C44" s="630"/>
      <c r="D44" s="630"/>
      <c r="E44" s="630"/>
      <c r="F44" s="630"/>
      <c r="G44" s="630"/>
      <c r="H44" s="630"/>
      <c r="I44" s="630"/>
      <c r="J44" s="630"/>
      <c r="K44" s="630"/>
      <c r="L44" s="631"/>
      <c r="M44" s="662"/>
      <c r="N44" s="663"/>
      <c r="O44" s="662"/>
      <c r="P44" s="663"/>
      <c r="Q44" s="662"/>
      <c r="R44" s="663"/>
      <c r="S44" s="662"/>
      <c r="T44" s="663"/>
      <c r="U44" s="662"/>
      <c r="V44" s="663"/>
      <c r="W44" s="662"/>
      <c r="X44" s="663"/>
      <c r="Y44" s="662"/>
      <c r="Z44" s="663"/>
      <c r="AA44" s="662"/>
      <c r="AB44" s="663"/>
      <c r="AC44" s="615"/>
      <c r="AD44" s="615"/>
      <c r="AE44" s="615"/>
      <c r="AF44" s="615"/>
    </row>
    <row r="45" spans="1:32" ht="12" customHeight="1">
      <c r="A45" s="63">
        <v>1</v>
      </c>
      <c r="B45" s="676">
        <v>2</v>
      </c>
      <c r="C45" s="676"/>
      <c r="D45" s="676"/>
      <c r="E45" s="676"/>
      <c r="F45" s="676"/>
      <c r="G45" s="676"/>
      <c r="H45" s="676"/>
      <c r="I45" s="676"/>
      <c r="J45" s="676"/>
      <c r="K45" s="676"/>
      <c r="L45" s="676"/>
      <c r="M45" s="620">
        <v>15</v>
      </c>
      <c r="N45" s="621"/>
      <c r="O45" s="620">
        <v>16</v>
      </c>
      <c r="P45" s="621"/>
      <c r="Q45" s="620">
        <v>17</v>
      </c>
      <c r="R45" s="621"/>
      <c r="S45" s="620">
        <v>18</v>
      </c>
      <c r="T45" s="621"/>
      <c r="U45" s="620">
        <v>19</v>
      </c>
      <c r="V45" s="621"/>
      <c r="W45" s="620">
        <v>20</v>
      </c>
      <c r="X45" s="621"/>
      <c r="Y45" s="620">
        <v>21</v>
      </c>
      <c r="Z45" s="621"/>
      <c r="AA45" s="620">
        <v>22</v>
      </c>
      <c r="AB45" s="621"/>
      <c r="AC45" s="126">
        <v>23</v>
      </c>
      <c r="AD45" s="126">
        <v>24</v>
      </c>
      <c r="AE45" s="126">
        <v>25</v>
      </c>
      <c r="AF45" s="126">
        <v>26</v>
      </c>
    </row>
    <row r="46" spans="1:32" ht="15" customHeight="1">
      <c r="A46" s="71"/>
      <c r="B46" s="623"/>
      <c r="C46" s="623"/>
      <c r="D46" s="623"/>
      <c r="E46" s="623"/>
      <c r="F46" s="623"/>
      <c r="G46" s="623"/>
      <c r="H46" s="623"/>
      <c r="I46" s="623"/>
      <c r="J46" s="623"/>
      <c r="K46" s="623"/>
      <c r="L46" s="623"/>
      <c r="M46" s="600"/>
      <c r="N46" s="602"/>
      <c r="O46" s="600"/>
      <c r="P46" s="602"/>
      <c r="Q46" s="606">
        <f t="shared" ref="Q46:Q51" si="3">O46-M46</f>
        <v>0</v>
      </c>
      <c r="R46" s="607"/>
      <c r="S46" s="603"/>
      <c r="T46" s="604"/>
      <c r="U46" s="600"/>
      <c r="V46" s="602"/>
      <c r="W46" s="600"/>
      <c r="X46" s="602"/>
      <c r="Y46" s="606">
        <f t="shared" ref="Y46:Y51" si="4">W46-U46</f>
        <v>0</v>
      </c>
      <c r="Z46" s="607"/>
      <c r="AA46" s="603"/>
      <c r="AB46" s="604"/>
      <c r="AC46" s="122">
        <f>M34+U34+AC34+M46+U46</f>
        <v>50</v>
      </c>
      <c r="AD46" s="122">
        <f>O34+W34+AD34+O46+W46</f>
        <v>16</v>
      </c>
      <c r="AE46" s="122">
        <f>AD46-AC46</f>
        <v>-34</v>
      </c>
      <c r="AF46" s="127"/>
    </row>
    <row r="47" spans="1:32" ht="15" customHeight="1">
      <c r="A47" s="71"/>
      <c r="B47" s="623"/>
      <c r="C47" s="623"/>
      <c r="D47" s="623"/>
      <c r="E47" s="623"/>
      <c r="F47" s="623"/>
      <c r="G47" s="623"/>
      <c r="H47" s="623"/>
      <c r="I47" s="623"/>
      <c r="J47" s="623"/>
      <c r="K47" s="623"/>
      <c r="L47" s="623"/>
      <c r="M47" s="600"/>
      <c r="N47" s="602"/>
      <c r="O47" s="600"/>
      <c r="P47" s="602"/>
      <c r="Q47" s="606">
        <f t="shared" si="3"/>
        <v>0</v>
      </c>
      <c r="R47" s="607"/>
      <c r="S47" s="603"/>
      <c r="T47" s="604"/>
      <c r="U47" s="600"/>
      <c r="V47" s="602"/>
      <c r="W47" s="600"/>
      <c r="X47" s="602"/>
      <c r="Y47" s="606">
        <f t="shared" si="4"/>
        <v>0</v>
      </c>
      <c r="Z47" s="607"/>
      <c r="AA47" s="603"/>
      <c r="AB47" s="604"/>
      <c r="AC47" s="122">
        <f>M35+U35+AC35+M47+U47</f>
        <v>0</v>
      </c>
      <c r="AD47" s="122">
        <f>O35+W35+AD35+O47+W47</f>
        <v>0</v>
      </c>
      <c r="AE47" s="122">
        <f>AD47-AC47</f>
        <v>0</v>
      </c>
      <c r="AF47" s="127"/>
    </row>
    <row r="48" spans="1:32" ht="15" customHeight="1">
      <c r="A48" s="71"/>
      <c r="B48" s="623"/>
      <c r="C48" s="623"/>
      <c r="D48" s="623"/>
      <c r="E48" s="623"/>
      <c r="F48" s="623"/>
      <c r="G48" s="623"/>
      <c r="H48" s="623"/>
      <c r="I48" s="623"/>
      <c r="J48" s="623"/>
      <c r="K48" s="623"/>
      <c r="L48" s="623"/>
      <c r="M48" s="600"/>
      <c r="N48" s="602"/>
      <c r="O48" s="600"/>
      <c r="P48" s="602"/>
      <c r="Q48" s="606">
        <f t="shared" si="3"/>
        <v>0</v>
      </c>
      <c r="R48" s="607"/>
      <c r="S48" s="603"/>
      <c r="T48" s="604"/>
      <c r="U48" s="600"/>
      <c r="V48" s="602"/>
      <c r="W48" s="600"/>
      <c r="X48" s="602"/>
      <c r="Y48" s="606">
        <f t="shared" si="4"/>
        <v>0</v>
      </c>
      <c r="Z48" s="607"/>
      <c r="AA48" s="603"/>
      <c r="AB48" s="604"/>
      <c r="AC48" s="122">
        <f>M36+U36+AC36+M48+U48</f>
        <v>0</v>
      </c>
      <c r="AD48" s="122">
        <f>O36+W36+AD36+O48+W48</f>
        <v>0</v>
      </c>
      <c r="AE48" s="122">
        <f>AD48-AC48</f>
        <v>0</v>
      </c>
      <c r="AF48" s="127"/>
    </row>
    <row r="49" spans="1:32" ht="15" customHeight="1">
      <c r="A49" s="71"/>
      <c r="B49" s="623"/>
      <c r="C49" s="623"/>
      <c r="D49" s="623"/>
      <c r="E49" s="623"/>
      <c r="F49" s="623"/>
      <c r="G49" s="623"/>
      <c r="H49" s="623"/>
      <c r="I49" s="623"/>
      <c r="J49" s="623"/>
      <c r="K49" s="623"/>
      <c r="L49" s="623"/>
      <c r="M49" s="600"/>
      <c r="N49" s="602"/>
      <c r="O49" s="600"/>
      <c r="P49" s="602"/>
      <c r="Q49" s="606">
        <f t="shared" si="3"/>
        <v>0</v>
      </c>
      <c r="R49" s="607"/>
      <c r="S49" s="603"/>
      <c r="T49" s="604"/>
      <c r="U49" s="600"/>
      <c r="V49" s="602"/>
      <c r="W49" s="600"/>
      <c r="X49" s="602"/>
      <c r="Y49" s="606">
        <f t="shared" si="4"/>
        <v>0</v>
      </c>
      <c r="Z49" s="607"/>
      <c r="AA49" s="603"/>
      <c r="AB49" s="604"/>
      <c r="AC49" s="122">
        <f>M37+U37+AC37+M49+U49</f>
        <v>0</v>
      </c>
      <c r="AD49" s="122">
        <f>O37+W37+AD37+O49+W49</f>
        <v>0</v>
      </c>
      <c r="AE49" s="122">
        <f>AD49-AC49</f>
        <v>0</v>
      </c>
      <c r="AF49" s="127"/>
    </row>
    <row r="50" spans="1:32" ht="15" customHeight="1">
      <c r="A50" s="71"/>
      <c r="B50" s="623"/>
      <c r="C50" s="623"/>
      <c r="D50" s="623"/>
      <c r="E50" s="623"/>
      <c r="F50" s="623"/>
      <c r="G50" s="623"/>
      <c r="H50" s="623"/>
      <c r="I50" s="623"/>
      <c r="J50" s="623"/>
      <c r="K50" s="623"/>
      <c r="L50" s="623"/>
      <c r="M50" s="600"/>
      <c r="N50" s="602"/>
      <c r="O50" s="600"/>
      <c r="P50" s="602"/>
      <c r="Q50" s="606">
        <f t="shared" si="3"/>
        <v>0</v>
      </c>
      <c r="R50" s="607"/>
      <c r="S50" s="603"/>
      <c r="T50" s="604"/>
      <c r="U50" s="600"/>
      <c r="V50" s="602"/>
      <c r="W50" s="600"/>
      <c r="X50" s="602"/>
      <c r="Y50" s="606">
        <f t="shared" si="4"/>
        <v>0</v>
      </c>
      <c r="Z50" s="607"/>
      <c r="AA50" s="603"/>
      <c r="AB50" s="604"/>
      <c r="AC50" s="122">
        <f>M38+U38+AC38+M50+U50</f>
        <v>0</v>
      </c>
      <c r="AD50" s="122">
        <f>O38+W38+AD38+O50+W50</f>
        <v>0</v>
      </c>
      <c r="AE50" s="122">
        <f>AD50-AC50</f>
        <v>0</v>
      </c>
      <c r="AF50" s="127"/>
    </row>
    <row r="51" spans="1:32" ht="18" customHeight="1">
      <c r="A51" s="678" t="s">
        <v>49</v>
      </c>
      <c r="B51" s="679"/>
      <c r="C51" s="679"/>
      <c r="D51" s="679"/>
      <c r="E51" s="679"/>
      <c r="F51" s="679"/>
      <c r="G51" s="679"/>
      <c r="H51" s="679"/>
      <c r="I51" s="679"/>
      <c r="J51" s="679"/>
      <c r="K51" s="679"/>
      <c r="L51" s="680"/>
      <c r="M51" s="606">
        <f>SUM(M46:M50)</f>
        <v>0</v>
      </c>
      <c r="N51" s="607"/>
      <c r="O51" s="606">
        <f>SUM(O46:O50)</f>
        <v>0</v>
      </c>
      <c r="P51" s="607"/>
      <c r="Q51" s="606">
        <f t="shared" si="3"/>
        <v>0</v>
      </c>
      <c r="R51" s="607"/>
      <c r="S51" s="603"/>
      <c r="T51" s="604"/>
      <c r="U51" s="606">
        <f>SUM(U46:U50)</f>
        <v>0</v>
      </c>
      <c r="V51" s="607"/>
      <c r="W51" s="606">
        <f>SUM(W46:W50)</f>
        <v>0</v>
      </c>
      <c r="X51" s="607"/>
      <c r="Y51" s="606">
        <f t="shared" si="4"/>
        <v>0</v>
      </c>
      <c r="Z51" s="607"/>
      <c r="AA51" s="603"/>
      <c r="AB51" s="604"/>
      <c r="AC51" s="122">
        <f>SUM(AC46:AC50)</f>
        <v>50</v>
      </c>
      <c r="AD51" s="122">
        <f>SUM(AD46:AD50)</f>
        <v>16</v>
      </c>
      <c r="AE51" s="122">
        <f>SUM(AE46:AE50)</f>
        <v>-34</v>
      </c>
      <c r="AF51" s="127"/>
    </row>
    <row r="52" spans="1:32" ht="15" customHeight="1">
      <c r="A52" s="678" t="s">
        <v>50</v>
      </c>
      <c r="B52" s="679"/>
      <c r="C52" s="679"/>
      <c r="D52" s="679"/>
      <c r="E52" s="679"/>
      <c r="F52" s="679"/>
      <c r="G52" s="679"/>
      <c r="H52" s="679"/>
      <c r="I52" s="679"/>
      <c r="J52" s="679"/>
      <c r="K52" s="679"/>
      <c r="L52" s="680"/>
      <c r="M52" s="603"/>
      <c r="N52" s="604"/>
      <c r="O52" s="603"/>
      <c r="P52" s="604"/>
      <c r="Q52" s="603"/>
      <c r="R52" s="604"/>
      <c r="S52" s="624"/>
      <c r="T52" s="625"/>
      <c r="U52" s="603"/>
      <c r="V52" s="604"/>
      <c r="W52" s="603"/>
      <c r="X52" s="604"/>
      <c r="Y52" s="603"/>
      <c r="Z52" s="604"/>
      <c r="AA52" s="624"/>
      <c r="AB52" s="625"/>
      <c r="AC52" s="127"/>
      <c r="AD52" s="127"/>
      <c r="AE52" s="128"/>
      <c r="AF52" s="128"/>
    </row>
    <row r="53" spans="1:32" ht="5.25" customHeight="1">
      <c r="A53" s="129"/>
      <c r="B53" s="129"/>
      <c r="C53" s="129"/>
      <c r="D53" s="130"/>
      <c r="E53" s="130"/>
      <c r="F53" s="130"/>
      <c r="G53" s="130"/>
      <c r="H53" s="130"/>
      <c r="I53" s="130"/>
      <c r="J53" s="130"/>
      <c r="K53" s="130"/>
      <c r="L53" s="130"/>
      <c r="M53" s="130"/>
      <c r="N53" s="130"/>
      <c r="O53" s="130"/>
      <c r="P53" s="130"/>
      <c r="Q53" s="130"/>
      <c r="R53" s="130"/>
      <c r="S53" s="130"/>
      <c r="T53" s="130"/>
      <c r="U53" s="130"/>
      <c r="V53" s="130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pans="1:32" s="32" customFormat="1" ht="12.75" customHeight="1">
      <c r="A54" s="115"/>
      <c r="B54" s="115"/>
      <c r="C54" s="115" t="s">
        <v>291</v>
      </c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</row>
    <row r="55" spans="1:32" s="56" customFormat="1" ht="13.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31"/>
      <c r="L55" s="16"/>
      <c r="M55" s="131"/>
      <c r="N55" s="131"/>
      <c r="O55" s="131"/>
      <c r="P55" s="131"/>
      <c r="Q55" s="131"/>
      <c r="R55" s="131"/>
      <c r="S55" s="131"/>
      <c r="T55" s="131"/>
      <c r="U55" s="131"/>
      <c r="V55" s="131"/>
      <c r="W55" s="131"/>
      <c r="X55" s="131"/>
      <c r="Y55" s="131"/>
      <c r="Z55" s="131"/>
      <c r="AA55" s="131"/>
      <c r="AB55" s="131"/>
      <c r="AC55" s="131"/>
      <c r="AD55" s="619" t="s">
        <v>167</v>
      </c>
      <c r="AE55" s="619"/>
      <c r="AF55" s="619"/>
    </row>
    <row r="56" spans="1:32" s="57" customFormat="1" ht="17.25" customHeight="1">
      <c r="A56" s="609" t="s">
        <v>150</v>
      </c>
      <c r="B56" s="542" t="s">
        <v>241</v>
      </c>
      <c r="C56" s="489"/>
      <c r="D56" s="548" t="s">
        <v>244</v>
      </c>
      <c r="E56" s="548"/>
      <c r="F56" s="548" t="s">
        <v>151</v>
      </c>
      <c r="G56" s="548"/>
      <c r="H56" s="548" t="s">
        <v>479</v>
      </c>
      <c r="I56" s="548"/>
      <c r="J56" s="548" t="s">
        <v>481</v>
      </c>
      <c r="K56" s="548"/>
      <c r="L56" s="622" t="s">
        <v>480</v>
      </c>
      <c r="M56" s="622"/>
      <c r="N56" s="622"/>
      <c r="O56" s="622"/>
      <c r="P56" s="622"/>
      <c r="Q56" s="622"/>
      <c r="R56" s="622"/>
      <c r="S56" s="622"/>
      <c r="T56" s="622"/>
      <c r="U56" s="622"/>
      <c r="V56" s="464" t="s">
        <v>242</v>
      </c>
      <c r="W56" s="464"/>
      <c r="X56" s="464"/>
      <c r="Y56" s="464"/>
      <c r="Z56" s="464"/>
      <c r="AA56" s="542" t="s">
        <v>243</v>
      </c>
      <c r="AB56" s="543"/>
      <c r="AC56" s="543"/>
      <c r="AD56" s="543"/>
      <c r="AE56" s="543"/>
      <c r="AF56" s="489"/>
    </row>
    <row r="57" spans="1:32" s="57" customFormat="1" ht="24.75" customHeight="1">
      <c r="A57" s="609"/>
      <c r="B57" s="616"/>
      <c r="C57" s="618"/>
      <c r="D57" s="548"/>
      <c r="E57" s="548"/>
      <c r="F57" s="548"/>
      <c r="G57" s="548"/>
      <c r="H57" s="548"/>
      <c r="I57" s="548"/>
      <c r="J57" s="548"/>
      <c r="K57" s="548"/>
      <c r="L57" s="548" t="s">
        <v>215</v>
      </c>
      <c r="M57" s="548"/>
      <c r="N57" s="464" t="s">
        <v>461</v>
      </c>
      <c r="O57" s="464"/>
      <c r="P57" s="548" t="s">
        <v>220</v>
      </c>
      <c r="Q57" s="548"/>
      <c r="R57" s="548"/>
      <c r="S57" s="548"/>
      <c r="T57" s="548"/>
      <c r="U57" s="548"/>
      <c r="V57" s="464"/>
      <c r="W57" s="464"/>
      <c r="X57" s="464"/>
      <c r="Y57" s="464"/>
      <c r="Z57" s="464"/>
      <c r="AA57" s="616"/>
      <c r="AB57" s="617"/>
      <c r="AC57" s="617"/>
      <c r="AD57" s="617"/>
      <c r="AE57" s="617"/>
      <c r="AF57" s="618"/>
    </row>
    <row r="58" spans="1:32" s="58" customFormat="1" ht="85.5" customHeight="1">
      <c r="A58" s="609"/>
      <c r="B58" s="544"/>
      <c r="C58" s="490"/>
      <c r="D58" s="548"/>
      <c r="E58" s="548"/>
      <c r="F58" s="548"/>
      <c r="G58" s="548"/>
      <c r="H58" s="548"/>
      <c r="I58" s="548"/>
      <c r="J58" s="548"/>
      <c r="K58" s="548"/>
      <c r="L58" s="548"/>
      <c r="M58" s="548"/>
      <c r="N58" s="464"/>
      <c r="O58" s="464"/>
      <c r="P58" s="548" t="s">
        <v>216</v>
      </c>
      <c r="Q58" s="548"/>
      <c r="R58" s="548" t="s">
        <v>217</v>
      </c>
      <c r="S58" s="548"/>
      <c r="T58" s="548" t="s">
        <v>218</v>
      </c>
      <c r="U58" s="548"/>
      <c r="V58" s="464"/>
      <c r="W58" s="464"/>
      <c r="X58" s="464"/>
      <c r="Y58" s="464"/>
      <c r="Z58" s="464"/>
      <c r="AA58" s="544"/>
      <c r="AB58" s="545"/>
      <c r="AC58" s="545"/>
      <c r="AD58" s="545"/>
      <c r="AE58" s="545"/>
      <c r="AF58" s="490"/>
    </row>
    <row r="59" spans="1:32" s="57" customFormat="1" ht="12" customHeight="1">
      <c r="A59" s="132">
        <v>1</v>
      </c>
      <c r="B59" s="549">
        <v>2</v>
      </c>
      <c r="C59" s="551"/>
      <c r="D59" s="548">
        <v>3</v>
      </c>
      <c r="E59" s="548"/>
      <c r="F59" s="548">
        <v>4</v>
      </c>
      <c r="G59" s="548"/>
      <c r="H59" s="548">
        <v>5</v>
      </c>
      <c r="I59" s="548"/>
      <c r="J59" s="548">
        <v>6</v>
      </c>
      <c r="K59" s="548"/>
      <c r="L59" s="549">
        <v>7</v>
      </c>
      <c r="M59" s="551"/>
      <c r="N59" s="549">
        <v>8</v>
      </c>
      <c r="O59" s="551"/>
      <c r="P59" s="548">
        <v>9</v>
      </c>
      <c r="Q59" s="548"/>
      <c r="R59" s="609">
        <v>10</v>
      </c>
      <c r="S59" s="609"/>
      <c r="T59" s="548">
        <v>11</v>
      </c>
      <c r="U59" s="548"/>
      <c r="V59" s="549">
        <v>12</v>
      </c>
      <c r="W59" s="550"/>
      <c r="X59" s="550"/>
      <c r="Y59" s="550"/>
      <c r="Z59" s="551"/>
      <c r="AA59" s="548">
        <v>13</v>
      </c>
      <c r="AB59" s="548"/>
      <c r="AC59" s="548"/>
      <c r="AD59" s="548"/>
      <c r="AE59" s="548"/>
      <c r="AF59" s="548"/>
    </row>
    <row r="60" spans="1:32" s="57" customFormat="1" ht="20.100000000000001" customHeight="1">
      <c r="A60" s="133"/>
      <c r="B60" s="674"/>
      <c r="C60" s="675"/>
      <c r="D60" s="642"/>
      <c r="E60" s="642"/>
      <c r="F60" s="677"/>
      <c r="G60" s="677"/>
      <c r="H60" s="677"/>
      <c r="I60" s="677"/>
      <c r="J60" s="677"/>
      <c r="K60" s="677"/>
      <c r="L60" s="677"/>
      <c r="M60" s="677"/>
      <c r="N60" s="606">
        <f>SUM(P60,R60,T60)</f>
        <v>0</v>
      </c>
      <c r="O60" s="607"/>
      <c r="P60" s="677"/>
      <c r="Q60" s="677"/>
      <c r="R60" s="677"/>
      <c r="S60" s="677"/>
      <c r="T60" s="677"/>
      <c r="U60" s="677"/>
      <c r="V60" s="689"/>
      <c r="W60" s="690"/>
      <c r="X60" s="690"/>
      <c r="Y60" s="690"/>
      <c r="Z60" s="691"/>
      <c r="AA60" s="688"/>
      <c r="AB60" s="688"/>
      <c r="AC60" s="688"/>
      <c r="AD60" s="688"/>
      <c r="AE60" s="688"/>
      <c r="AF60" s="688"/>
    </row>
    <row r="61" spans="1:32" s="57" customFormat="1" ht="20.100000000000001" customHeight="1">
      <c r="A61" s="133"/>
      <c r="B61" s="674"/>
      <c r="C61" s="675"/>
      <c r="D61" s="642"/>
      <c r="E61" s="642"/>
      <c r="F61" s="677"/>
      <c r="G61" s="677"/>
      <c r="H61" s="677"/>
      <c r="I61" s="677"/>
      <c r="J61" s="677"/>
      <c r="K61" s="677"/>
      <c r="L61" s="677"/>
      <c r="M61" s="677"/>
      <c r="N61" s="606">
        <f>SUM(P61,R61,T61)</f>
        <v>0</v>
      </c>
      <c r="O61" s="607"/>
      <c r="P61" s="677"/>
      <c r="Q61" s="677"/>
      <c r="R61" s="677"/>
      <c r="S61" s="677"/>
      <c r="T61" s="677"/>
      <c r="U61" s="677"/>
      <c r="V61" s="689"/>
      <c r="W61" s="690"/>
      <c r="X61" s="690"/>
      <c r="Y61" s="690"/>
      <c r="Z61" s="691"/>
      <c r="AA61" s="688"/>
      <c r="AB61" s="688"/>
      <c r="AC61" s="688"/>
      <c r="AD61" s="688"/>
      <c r="AE61" s="688"/>
      <c r="AF61" s="688"/>
    </row>
    <row r="62" spans="1:32" s="57" customFormat="1" ht="20.100000000000001" customHeight="1">
      <c r="A62" s="133"/>
      <c r="B62" s="674"/>
      <c r="C62" s="675"/>
      <c r="D62" s="642"/>
      <c r="E62" s="642"/>
      <c r="F62" s="677"/>
      <c r="G62" s="677"/>
      <c r="H62" s="677"/>
      <c r="I62" s="677"/>
      <c r="J62" s="677"/>
      <c r="K62" s="677"/>
      <c r="L62" s="677"/>
      <c r="M62" s="677"/>
      <c r="N62" s="606">
        <f>SUM(P62,R62,T62)</f>
        <v>0</v>
      </c>
      <c r="O62" s="607"/>
      <c r="P62" s="677"/>
      <c r="Q62" s="677"/>
      <c r="R62" s="677"/>
      <c r="S62" s="677"/>
      <c r="T62" s="677"/>
      <c r="U62" s="677"/>
      <c r="V62" s="689"/>
      <c r="W62" s="690"/>
      <c r="X62" s="690"/>
      <c r="Y62" s="690"/>
      <c r="Z62" s="691"/>
      <c r="AA62" s="688"/>
      <c r="AB62" s="688"/>
      <c r="AC62" s="688"/>
      <c r="AD62" s="688"/>
      <c r="AE62" s="688"/>
      <c r="AF62" s="688"/>
    </row>
    <row r="63" spans="1:32" s="57" customFormat="1" ht="20.100000000000001" customHeight="1">
      <c r="A63" s="133"/>
      <c r="B63" s="674"/>
      <c r="C63" s="675"/>
      <c r="D63" s="642"/>
      <c r="E63" s="642"/>
      <c r="F63" s="677"/>
      <c r="G63" s="677"/>
      <c r="H63" s="677"/>
      <c r="I63" s="677"/>
      <c r="J63" s="677"/>
      <c r="K63" s="677"/>
      <c r="L63" s="677"/>
      <c r="M63" s="677"/>
      <c r="N63" s="606">
        <f>SUM(P63,R63,T63)</f>
        <v>0</v>
      </c>
      <c r="O63" s="607"/>
      <c r="P63" s="677"/>
      <c r="Q63" s="677"/>
      <c r="R63" s="677"/>
      <c r="S63" s="677"/>
      <c r="T63" s="677"/>
      <c r="U63" s="677"/>
      <c r="V63" s="689"/>
      <c r="W63" s="690"/>
      <c r="X63" s="690"/>
      <c r="Y63" s="690"/>
      <c r="Z63" s="691"/>
      <c r="AA63" s="688"/>
      <c r="AB63" s="688"/>
      <c r="AC63" s="688"/>
      <c r="AD63" s="688"/>
      <c r="AE63" s="688"/>
      <c r="AF63" s="688"/>
    </row>
    <row r="64" spans="1:32" s="57" customFormat="1" ht="20.100000000000001" customHeight="1">
      <c r="A64" s="133"/>
      <c r="B64" s="674"/>
      <c r="C64" s="675"/>
      <c r="D64" s="642"/>
      <c r="E64" s="642"/>
      <c r="F64" s="677"/>
      <c r="G64" s="677"/>
      <c r="H64" s="677"/>
      <c r="I64" s="677"/>
      <c r="J64" s="677"/>
      <c r="K64" s="677"/>
      <c r="L64" s="677"/>
      <c r="M64" s="677"/>
      <c r="N64" s="606">
        <f>SUM(P64,R64,T64)</f>
        <v>0</v>
      </c>
      <c r="O64" s="607"/>
      <c r="P64" s="677"/>
      <c r="Q64" s="677"/>
      <c r="R64" s="677"/>
      <c r="S64" s="677"/>
      <c r="T64" s="677"/>
      <c r="U64" s="677"/>
      <c r="V64" s="689"/>
      <c r="W64" s="690"/>
      <c r="X64" s="690"/>
      <c r="Y64" s="690"/>
      <c r="Z64" s="691"/>
      <c r="AA64" s="688"/>
      <c r="AB64" s="688"/>
      <c r="AC64" s="688"/>
      <c r="AD64" s="688"/>
      <c r="AE64" s="688"/>
      <c r="AF64" s="688"/>
    </row>
    <row r="65" spans="1:32" s="57" customFormat="1" ht="21" customHeight="1">
      <c r="A65" s="692" t="s">
        <v>49</v>
      </c>
      <c r="B65" s="693"/>
      <c r="C65" s="693"/>
      <c r="D65" s="693"/>
      <c r="E65" s="694"/>
      <c r="F65" s="685">
        <f>SUM(F60:G64)</f>
        <v>0</v>
      </c>
      <c r="G65" s="685"/>
      <c r="H65" s="685">
        <f>SUM(H60:I64)</f>
        <v>0</v>
      </c>
      <c r="I65" s="685"/>
      <c r="J65" s="685">
        <f>SUM(J60:K64)</f>
        <v>0</v>
      </c>
      <c r="K65" s="685"/>
      <c r="L65" s="685">
        <f>SUM(L60:M64)</f>
        <v>0</v>
      </c>
      <c r="M65" s="685"/>
      <c r="N65" s="685">
        <f>SUM(N60:O64)</f>
        <v>0</v>
      </c>
      <c r="O65" s="685"/>
      <c r="P65" s="685">
        <f>SUM(P60:Q64)</f>
        <v>0</v>
      </c>
      <c r="Q65" s="685"/>
      <c r="R65" s="685">
        <f>SUM(R60:S64)</f>
        <v>0</v>
      </c>
      <c r="S65" s="685"/>
      <c r="T65" s="685">
        <f>SUM(T60:U64)</f>
        <v>0</v>
      </c>
      <c r="U65" s="685"/>
      <c r="V65" s="689"/>
      <c r="W65" s="690"/>
      <c r="X65" s="690"/>
      <c r="Y65" s="690"/>
      <c r="Z65" s="691"/>
      <c r="AA65" s="688"/>
      <c r="AB65" s="688"/>
      <c r="AC65" s="688"/>
      <c r="AD65" s="688"/>
      <c r="AE65" s="688"/>
      <c r="AF65" s="688"/>
    </row>
    <row r="66" spans="1:32" s="57" customFormat="1" ht="7.5" customHeight="1">
      <c r="A66" s="141"/>
      <c r="B66" s="141"/>
      <c r="C66" s="141"/>
      <c r="D66" s="141"/>
      <c r="E66" s="141"/>
      <c r="F66" s="143"/>
      <c r="G66" s="143"/>
      <c r="H66" s="143"/>
      <c r="I66" s="143"/>
      <c r="J66" s="143"/>
      <c r="K66" s="143"/>
      <c r="L66" s="143"/>
      <c r="M66" s="143"/>
      <c r="N66" s="143"/>
      <c r="O66" s="143"/>
      <c r="P66" s="143"/>
      <c r="Q66" s="143"/>
      <c r="R66" s="143"/>
      <c r="S66" s="143"/>
      <c r="T66" s="143"/>
      <c r="U66" s="143"/>
      <c r="V66" s="142"/>
      <c r="W66" s="142"/>
      <c r="X66" s="142"/>
      <c r="Y66" s="142"/>
      <c r="Z66" s="142"/>
      <c r="AA66" s="119"/>
      <c r="AB66" s="119"/>
      <c r="AC66" s="119"/>
      <c r="AD66" s="119"/>
      <c r="AE66" s="119"/>
      <c r="AF66" s="119"/>
    </row>
    <row r="67" spans="1:32" s="57" customFormat="1" ht="19.5" customHeight="1">
      <c r="A67" s="23"/>
      <c r="B67" s="714" t="s">
        <v>292</v>
      </c>
      <c r="C67" s="714"/>
      <c r="D67" s="714"/>
      <c r="E67" s="714"/>
      <c r="F67" s="714"/>
      <c r="G67" s="714"/>
      <c r="H67" s="714"/>
      <c r="I67" s="714"/>
      <c r="J67" s="714"/>
      <c r="K67" s="714"/>
      <c r="L67" s="714"/>
      <c r="M67" s="714"/>
      <c r="N67" s="714"/>
      <c r="O67" s="714"/>
      <c r="P67" s="714"/>
      <c r="Q67" s="714"/>
      <c r="R67" s="714"/>
      <c r="S67" s="714"/>
      <c r="T67" s="714"/>
      <c r="U67" s="714"/>
      <c r="V67" s="714"/>
      <c r="W67" s="714"/>
      <c r="X67" s="714"/>
      <c r="Y67" s="714"/>
      <c r="Z67" s="714"/>
      <c r="AA67" s="714"/>
      <c r="AB67" s="714"/>
      <c r="AC67" s="714"/>
      <c r="AD67" s="714"/>
      <c r="AE67" s="714"/>
      <c r="AF67" s="119"/>
    </row>
    <row r="68" spans="1:32" s="57" customFormat="1" ht="24.95" customHeight="1">
      <c r="A68" s="681" t="s">
        <v>45</v>
      </c>
      <c r="B68" s="466" t="s">
        <v>202</v>
      </c>
      <c r="C68" s="466"/>
      <c r="D68" s="466"/>
      <c r="E68" s="466"/>
      <c r="F68" s="466"/>
      <c r="G68" s="466"/>
      <c r="H68" s="466"/>
      <c r="I68" s="466"/>
      <c r="J68" s="466"/>
      <c r="K68" s="684" t="s">
        <v>864</v>
      </c>
      <c r="L68" s="684"/>
      <c r="M68" s="684"/>
      <c r="N68" s="706" t="s">
        <v>266</v>
      </c>
      <c r="O68" s="707"/>
      <c r="P68" s="708"/>
      <c r="Q68" s="705" t="s">
        <v>865</v>
      </c>
      <c r="R68" s="705"/>
      <c r="S68" s="705"/>
      <c r="T68" s="466" t="s">
        <v>267</v>
      </c>
      <c r="U68" s="466"/>
      <c r="V68" s="466"/>
      <c r="W68" s="617"/>
      <c r="X68" s="617"/>
      <c r="Y68" s="617"/>
      <c r="Z68" s="617"/>
      <c r="AA68" s="617"/>
      <c r="AB68" s="617"/>
      <c r="AC68" s="617"/>
      <c r="AD68" s="617"/>
      <c r="AE68" s="78"/>
      <c r="AF68" s="119"/>
    </row>
    <row r="69" spans="1:32" s="57" customFormat="1" ht="21.75" customHeight="1">
      <c r="A69" s="682"/>
      <c r="B69" s="466"/>
      <c r="C69" s="466"/>
      <c r="D69" s="466"/>
      <c r="E69" s="466"/>
      <c r="F69" s="466"/>
      <c r="G69" s="466"/>
      <c r="H69" s="466"/>
      <c r="I69" s="466"/>
      <c r="J69" s="466"/>
      <c r="K69" s="684"/>
      <c r="L69" s="684"/>
      <c r="M69" s="684"/>
      <c r="N69" s="709"/>
      <c r="O69" s="704"/>
      <c r="P69" s="710"/>
      <c r="Q69" s="705"/>
      <c r="R69" s="705"/>
      <c r="S69" s="705"/>
      <c r="T69" s="466"/>
      <c r="U69" s="466"/>
      <c r="V69" s="466"/>
      <c r="W69" s="704"/>
      <c r="X69" s="704"/>
      <c r="Y69" s="704"/>
      <c r="Z69" s="704"/>
      <c r="AA69" s="704"/>
      <c r="AB69" s="704"/>
      <c r="AC69" s="704"/>
      <c r="AD69" s="704"/>
      <c r="AE69" s="78"/>
      <c r="AF69" s="119"/>
    </row>
    <row r="70" spans="1:32" s="57" customFormat="1" ht="44.25" customHeight="1">
      <c r="A70" s="683"/>
      <c r="B70" s="466"/>
      <c r="C70" s="466"/>
      <c r="D70" s="466"/>
      <c r="E70" s="466"/>
      <c r="F70" s="466"/>
      <c r="G70" s="466"/>
      <c r="H70" s="466"/>
      <c r="I70" s="466"/>
      <c r="J70" s="466"/>
      <c r="K70" s="684"/>
      <c r="L70" s="684"/>
      <c r="M70" s="684"/>
      <c r="N70" s="711"/>
      <c r="O70" s="712"/>
      <c r="P70" s="713"/>
      <c r="Q70" s="705"/>
      <c r="R70" s="705"/>
      <c r="S70" s="705"/>
      <c r="T70" s="466"/>
      <c r="U70" s="466"/>
      <c r="V70" s="466"/>
      <c r="W70" s="704"/>
      <c r="X70" s="704"/>
      <c r="Y70" s="704"/>
      <c r="Z70" s="704"/>
      <c r="AA70" s="704"/>
      <c r="AB70" s="704"/>
      <c r="AC70" s="704"/>
      <c r="AD70" s="704"/>
      <c r="AE70" s="78"/>
      <c r="AF70" s="119"/>
    </row>
    <row r="71" spans="1:32" s="57" customFormat="1" ht="12.75" customHeight="1">
      <c r="A71" s="106">
        <v>1</v>
      </c>
      <c r="B71" s="686">
        <v>2</v>
      </c>
      <c r="C71" s="686"/>
      <c r="D71" s="686"/>
      <c r="E71" s="686"/>
      <c r="F71" s="686"/>
      <c r="G71" s="686"/>
      <c r="H71" s="686"/>
      <c r="I71" s="686"/>
      <c r="J71" s="686"/>
      <c r="K71" s="687">
        <v>3</v>
      </c>
      <c r="L71" s="687"/>
      <c r="M71" s="687"/>
      <c r="N71" s="687">
        <v>4</v>
      </c>
      <c r="O71" s="687"/>
      <c r="P71" s="687"/>
      <c r="Q71" s="687">
        <v>5</v>
      </c>
      <c r="R71" s="687"/>
      <c r="S71" s="687"/>
      <c r="T71" s="687">
        <v>6</v>
      </c>
      <c r="U71" s="687"/>
      <c r="V71" s="687"/>
      <c r="W71" s="702"/>
      <c r="X71" s="702"/>
      <c r="Y71" s="702"/>
      <c r="Z71" s="702"/>
      <c r="AA71" s="702"/>
      <c r="AB71" s="702"/>
      <c r="AC71" s="702"/>
      <c r="AD71" s="702"/>
      <c r="AE71" s="78"/>
      <c r="AF71" s="119"/>
    </row>
    <row r="72" spans="1:32" s="57" customFormat="1" ht="25.5" customHeight="1">
      <c r="A72" s="88"/>
      <c r="B72" s="555" t="s">
        <v>284</v>
      </c>
      <c r="C72" s="555"/>
      <c r="D72" s="555"/>
      <c r="E72" s="555"/>
      <c r="F72" s="555"/>
      <c r="G72" s="555"/>
      <c r="H72" s="555"/>
      <c r="I72" s="555"/>
      <c r="J72" s="555"/>
      <c r="K72" s="532"/>
      <c r="L72" s="532"/>
      <c r="M72" s="532"/>
      <c r="N72" s="532"/>
      <c r="O72" s="532"/>
      <c r="P72" s="532"/>
      <c r="Q72" s="532"/>
      <c r="R72" s="532"/>
      <c r="S72" s="532"/>
      <c r="T72" s="532"/>
      <c r="U72" s="532"/>
      <c r="V72" s="532"/>
      <c r="W72" s="696"/>
      <c r="X72" s="696"/>
      <c r="Y72" s="696"/>
      <c r="Z72" s="696"/>
      <c r="AA72" s="696"/>
      <c r="AB72" s="696"/>
      <c r="AC72" s="696"/>
      <c r="AD72" s="696"/>
      <c r="AE72" s="78"/>
      <c r="AF72" s="119"/>
    </row>
    <row r="73" spans="1:32" s="57" customFormat="1" ht="19.5" customHeight="1">
      <c r="A73" s="88"/>
      <c r="B73" s="695" t="s">
        <v>285</v>
      </c>
      <c r="C73" s="695"/>
      <c r="D73" s="695"/>
      <c r="E73" s="695"/>
      <c r="F73" s="695"/>
      <c r="G73" s="695"/>
      <c r="H73" s="695"/>
      <c r="I73" s="695"/>
      <c r="J73" s="695"/>
      <c r="K73" s="532"/>
      <c r="L73" s="532"/>
      <c r="M73" s="532"/>
      <c r="N73" s="532"/>
      <c r="O73" s="532"/>
      <c r="P73" s="532"/>
      <c r="Q73" s="532"/>
      <c r="R73" s="532"/>
      <c r="S73" s="532"/>
      <c r="T73" s="532"/>
      <c r="U73" s="532"/>
      <c r="V73" s="532"/>
      <c r="W73" s="696"/>
      <c r="X73" s="696"/>
      <c r="Y73" s="696"/>
      <c r="Z73" s="696"/>
      <c r="AA73" s="696"/>
      <c r="AB73" s="696"/>
      <c r="AC73" s="696"/>
      <c r="AD73" s="696"/>
      <c r="AE73" s="78"/>
      <c r="AF73" s="119"/>
    </row>
    <row r="74" spans="1:32" s="57" customFormat="1" ht="19.5" customHeight="1">
      <c r="A74" s="88"/>
      <c r="B74" s="695" t="s">
        <v>286</v>
      </c>
      <c r="C74" s="695"/>
      <c r="D74" s="695"/>
      <c r="E74" s="695"/>
      <c r="F74" s="695"/>
      <c r="G74" s="695"/>
      <c r="H74" s="695"/>
      <c r="I74" s="695"/>
      <c r="J74" s="695"/>
      <c r="K74" s="532"/>
      <c r="L74" s="532"/>
      <c r="M74" s="532"/>
      <c r="N74" s="532"/>
      <c r="O74" s="532"/>
      <c r="P74" s="532"/>
      <c r="Q74" s="532"/>
      <c r="R74" s="532"/>
      <c r="S74" s="532"/>
      <c r="T74" s="532"/>
      <c r="U74" s="532"/>
      <c r="V74" s="532"/>
      <c r="W74" s="696"/>
      <c r="X74" s="696"/>
      <c r="Y74" s="696"/>
      <c r="Z74" s="696"/>
      <c r="AA74" s="696"/>
      <c r="AB74" s="696"/>
      <c r="AC74" s="696"/>
      <c r="AD74" s="696"/>
      <c r="AE74" s="78"/>
      <c r="AF74" s="119"/>
    </row>
    <row r="75" spans="1:32" s="57" customFormat="1" ht="23.25" customHeight="1">
      <c r="A75" s="88"/>
      <c r="B75" s="697" t="s">
        <v>287</v>
      </c>
      <c r="C75" s="698"/>
      <c r="D75" s="698"/>
      <c r="E75" s="698"/>
      <c r="F75" s="698"/>
      <c r="G75" s="698"/>
      <c r="H75" s="698"/>
      <c r="I75" s="698"/>
      <c r="J75" s="699"/>
      <c r="K75" s="532"/>
      <c r="L75" s="532"/>
      <c r="M75" s="532"/>
      <c r="N75" s="532"/>
      <c r="O75" s="532"/>
      <c r="P75" s="532"/>
      <c r="Q75" s="532"/>
      <c r="R75" s="532"/>
      <c r="S75" s="532"/>
      <c r="T75" s="532"/>
      <c r="U75" s="532"/>
      <c r="V75" s="532"/>
      <c r="W75" s="696"/>
      <c r="X75" s="696"/>
      <c r="Y75" s="696"/>
      <c r="Z75" s="696"/>
      <c r="AA75" s="696"/>
      <c r="AB75" s="696"/>
      <c r="AC75" s="696"/>
      <c r="AD75" s="696"/>
      <c r="AE75" s="78"/>
      <c r="AF75" s="119"/>
    </row>
    <row r="76" spans="1:32" s="57" customFormat="1" ht="18" customHeight="1">
      <c r="A76" s="88"/>
      <c r="B76" s="695" t="s">
        <v>285</v>
      </c>
      <c r="C76" s="695"/>
      <c r="D76" s="695"/>
      <c r="E76" s="695"/>
      <c r="F76" s="695"/>
      <c r="G76" s="695"/>
      <c r="H76" s="695"/>
      <c r="I76" s="695"/>
      <c r="J76" s="695"/>
      <c r="K76" s="532"/>
      <c r="L76" s="532"/>
      <c r="M76" s="532"/>
      <c r="N76" s="532"/>
      <c r="O76" s="532"/>
      <c r="P76" s="532"/>
      <c r="Q76" s="532"/>
      <c r="R76" s="532"/>
      <c r="S76" s="532"/>
      <c r="T76" s="532"/>
      <c r="U76" s="532"/>
      <c r="V76" s="532"/>
      <c r="W76" s="696"/>
      <c r="X76" s="696"/>
      <c r="Y76" s="696"/>
      <c r="Z76" s="696"/>
      <c r="AA76" s="696"/>
      <c r="AB76" s="696"/>
      <c r="AC76" s="696"/>
      <c r="AD76" s="696"/>
      <c r="AE76" s="78"/>
      <c r="AF76" s="119"/>
    </row>
    <row r="77" spans="1:32" s="57" customFormat="1" ht="24.95" customHeight="1">
      <c r="A77" s="139"/>
      <c r="B77" s="695" t="s">
        <v>286</v>
      </c>
      <c r="C77" s="695"/>
      <c r="D77" s="695"/>
      <c r="E77" s="695"/>
      <c r="F77" s="695"/>
      <c r="G77" s="695"/>
      <c r="H77" s="695"/>
      <c r="I77" s="695"/>
      <c r="J77" s="695"/>
      <c r="K77" s="532"/>
      <c r="L77" s="532"/>
      <c r="M77" s="532"/>
      <c r="N77" s="532"/>
      <c r="O77" s="532"/>
      <c r="P77" s="532"/>
      <c r="Q77" s="532"/>
      <c r="R77" s="532"/>
      <c r="S77" s="532"/>
      <c r="T77" s="532"/>
      <c r="U77" s="532"/>
      <c r="V77" s="532"/>
      <c r="W77" s="696"/>
      <c r="X77" s="696"/>
      <c r="Y77" s="696"/>
      <c r="Z77" s="696"/>
      <c r="AA77" s="696"/>
      <c r="AB77" s="696"/>
      <c r="AC77" s="696"/>
      <c r="AD77" s="696"/>
      <c r="AE77" s="78"/>
      <c r="AF77" s="119"/>
    </row>
    <row r="78" spans="1:32" s="57" customFormat="1" ht="23.25" customHeight="1">
      <c r="A78" s="139"/>
      <c r="B78" s="697" t="s">
        <v>288</v>
      </c>
      <c r="C78" s="698"/>
      <c r="D78" s="698"/>
      <c r="E78" s="698"/>
      <c r="F78" s="698"/>
      <c r="G78" s="698"/>
      <c r="H78" s="698"/>
      <c r="I78" s="698"/>
      <c r="J78" s="699"/>
      <c r="K78" s="532"/>
      <c r="L78" s="532"/>
      <c r="M78" s="532"/>
      <c r="N78" s="532"/>
      <c r="O78" s="532"/>
      <c r="P78" s="532"/>
      <c r="Q78" s="532"/>
      <c r="R78" s="532"/>
      <c r="S78" s="532"/>
      <c r="T78" s="532"/>
      <c r="U78" s="532"/>
      <c r="V78" s="532"/>
      <c r="W78" s="696"/>
      <c r="X78" s="696"/>
      <c r="Y78" s="696"/>
      <c r="Z78" s="696"/>
      <c r="AA78" s="696"/>
      <c r="AB78" s="696"/>
      <c r="AC78" s="696"/>
      <c r="AD78" s="696"/>
      <c r="AE78" s="78"/>
      <c r="AF78" s="119"/>
    </row>
    <row r="79" spans="1:32" s="57" customFormat="1" ht="17.25" customHeight="1">
      <c r="A79" s="139"/>
      <c r="B79" s="695" t="s">
        <v>285</v>
      </c>
      <c r="C79" s="695"/>
      <c r="D79" s="695"/>
      <c r="E79" s="695"/>
      <c r="F79" s="695"/>
      <c r="G79" s="695"/>
      <c r="H79" s="695"/>
      <c r="I79" s="695"/>
      <c r="J79" s="695"/>
      <c r="K79" s="532"/>
      <c r="L79" s="532"/>
      <c r="M79" s="532"/>
      <c r="N79" s="532"/>
      <c r="O79" s="532"/>
      <c r="P79" s="532"/>
      <c r="Q79" s="532"/>
      <c r="R79" s="532"/>
      <c r="S79" s="532"/>
      <c r="T79" s="532"/>
      <c r="U79" s="532"/>
      <c r="V79" s="532"/>
      <c r="W79" s="696"/>
      <c r="X79" s="696"/>
      <c r="Y79" s="696"/>
      <c r="Z79" s="696"/>
      <c r="AA79" s="696"/>
      <c r="AB79" s="696"/>
      <c r="AC79" s="696"/>
      <c r="AD79" s="696"/>
      <c r="AE79" s="78"/>
      <c r="AF79" s="119"/>
    </row>
    <row r="80" spans="1:32" ht="18" customHeight="1">
      <c r="A80" s="139"/>
      <c r="B80" s="695" t="s">
        <v>286</v>
      </c>
      <c r="C80" s="695"/>
      <c r="D80" s="695"/>
      <c r="E80" s="695"/>
      <c r="F80" s="695"/>
      <c r="G80" s="695"/>
      <c r="H80" s="695"/>
      <c r="I80" s="695"/>
      <c r="J80" s="695"/>
      <c r="K80" s="532"/>
      <c r="L80" s="532"/>
      <c r="M80" s="532"/>
      <c r="N80" s="532"/>
      <c r="O80" s="532"/>
      <c r="P80" s="532"/>
      <c r="Q80" s="532"/>
      <c r="R80" s="532"/>
      <c r="S80" s="532"/>
      <c r="T80" s="532"/>
      <c r="U80" s="532"/>
      <c r="V80" s="532"/>
      <c r="W80" s="696"/>
      <c r="X80" s="696"/>
      <c r="Y80" s="696"/>
      <c r="Z80" s="696"/>
      <c r="AA80" s="696"/>
      <c r="AB80" s="696"/>
      <c r="AC80" s="696"/>
      <c r="AD80" s="696"/>
      <c r="AE80" s="78"/>
      <c r="AF80" s="16"/>
    </row>
    <row r="81" spans="1:32" ht="23.25" customHeight="1">
      <c r="A81" s="703" t="s">
        <v>49</v>
      </c>
      <c r="B81" s="703"/>
      <c r="C81" s="703"/>
      <c r="D81" s="703"/>
      <c r="E81" s="703"/>
      <c r="F81" s="703"/>
      <c r="G81" s="703"/>
      <c r="H81" s="703"/>
      <c r="I81" s="703"/>
      <c r="J81" s="703"/>
      <c r="K81" s="532"/>
      <c r="L81" s="532"/>
      <c r="M81" s="532"/>
      <c r="N81" s="532"/>
      <c r="O81" s="532"/>
      <c r="P81" s="532"/>
      <c r="Q81" s="532"/>
      <c r="R81" s="532"/>
      <c r="S81" s="532"/>
      <c r="T81" s="532"/>
      <c r="U81" s="532"/>
      <c r="V81" s="532"/>
      <c r="W81" s="696"/>
      <c r="X81" s="696"/>
      <c r="Y81" s="696"/>
      <c r="Z81" s="696"/>
      <c r="AA81" s="696"/>
      <c r="AB81" s="696"/>
      <c r="AC81" s="696"/>
      <c r="AD81" s="696"/>
      <c r="AE81" s="78"/>
      <c r="AF81" s="16"/>
    </row>
    <row r="82" spans="1:32" s="3" customFormat="1" ht="33.75" customHeight="1">
      <c r="A82" s="134"/>
      <c r="B82" s="526" t="s">
        <v>707</v>
      </c>
      <c r="C82" s="526"/>
      <c r="D82" s="526"/>
      <c r="E82" s="526"/>
      <c r="F82" s="526"/>
      <c r="G82" s="526"/>
      <c r="H82" s="342" t="s">
        <v>265</v>
      </c>
      <c r="I82" s="342"/>
      <c r="J82" s="342"/>
      <c r="K82" s="342"/>
      <c r="L82" s="342"/>
      <c r="M82" s="336"/>
      <c r="N82" s="700" t="s">
        <v>489</v>
      </c>
      <c r="O82" s="700"/>
      <c r="P82" s="700"/>
      <c r="Q82" s="700"/>
      <c r="R82" s="339"/>
      <c r="S82" s="339"/>
      <c r="T82" s="339"/>
      <c r="U82" s="339"/>
      <c r="V82" s="339"/>
      <c r="W82" s="339"/>
      <c r="X82" s="339"/>
      <c r="Y82" s="339"/>
      <c r="Z82" s="339"/>
      <c r="AA82" s="28"/>
      <c r="AB82" s="134"/>
      <c r="AC82" s="134"/>
      <c r="AD82" s="134"/>
      <c r="AE82" s="134"/>
      <c r="AF82" s="134"/>
    </row>
    <row r="83" spans="1:32" s="28" customFormat="1" ht="16.5" customHeight="1">
      <c r="A83" s="135"/>
      <c r="B83" s="144"/>
      <c r="C83" s="145" t="s">
        <v>67</v>
      </c>
      <c r="D83" s="3"/>
      <c r="E83" s="146"/>
      <c r="F83" s="146"/>
      <c r="G83" s="146"/>
      <c r="H83" s="337"/>
      <c r="I83" s="144"/>
      <c r="J83" s="147" t="s">
        <v>68</v>
      </c>
      <c r="K83" s="148"/>
      <c r="L83" s="338"/>
      <c r="M83" s="149"/>
      <c r="N83" s="701" t="s">
        <v>93</v>
      </c>
      <c r="O83" s="701"/>
      <c r="P83" s="701"/>
      <c r="Q83" s="701"/>
      <c r="R83" s="340"/>
      <c r="S83" s="340"/>
      <c r="T83" s="341"/>
      <c r="U83" s="341"/>
      <c r="V83" s="341"/>
      <c r="W83" s="341"/>
      <c r="X83" s="341"/>
      <c r="Y83" s="341"/>
      <c r="Z83" s="341"/>
      <c r="AA83" s="3"/>
      <c r="AB83" s="135"/>
      <c r="AC83" s="135"/>
      <c r="AD83" s="135"/>
      <c r="AE83" s="135"/>
      <c r="AF83" s="135"/>
    </row>
    <row r="84" spans="1:32" s="3" customFormat="1">
      <c r="A84" s="134"/>
      <c r="B84" s="524" t="s">
        <v>553</v>
      </c>
      <c r="C84" s="524"/>
      <c r="D84" s="524"/>
      <c r="E84" s="134"/>
      <c r="F84" s="87"/>
      <c r="G84" s="87"/>
      <c r="H84" s="87"/>
      <c r="I84" s="87"/>
      <c r="J84" s="87"/>
      <c r="K84" s="87"/>
      <c r="L84" s="87"/>
      <c r="M84" s="134"/>
      <c r="N84" s="134"/>
      <c r="O84" s="134"/>
      <c r="P84" s="134"/>
      <c r="Q84" s="87"/>
      <c r="R84" s="87"/>
      <c r="S84" s="87"/>
      <c r="T84" s="87"/>
      <c r="U84" s="134"/>
      <c r="V84" s="134"/>
      <c r="W84" s="134"/>
      <c r="X84" s="87"/>
      <c r="Y84" s="87"/>
      <c r="Z84" s="87"/>
      <c r="AA84" s="87"/>
      <c r="AB84" s="134"/>
      <c r="AC84" s="134"/>
      <c r="AD84" s="134"/>
      <c r="AE84" s="134"/>
      <c r="AF84" s="134"/>
    </row>
    <row r="85" spans="1:32">
      <c r="A85" s="16"/>
      <c r="B85" s="16"/>
      <c r="C85" s="136"/>
      <c r="D85" s="136"/>
      <c r="E85" s="136"/>
      <c r="F85" s="136"/>
      <c r="G85" s="136"/>
      <c r="H85" s="136"/>
      <c r="I85" s="137"/>
      <c r="J85" s="137"/>
      <c r="K85" s="137"/>
      <c r="L85" s="137"/>
      <c r="M85" s="137"/>
      <c r="N85" s="137"/>
      <c r="O85" s="137"/>
      <c r="P85" s="137"/>
      <c r="Q85" s="137"/>
      <c r="R85" s="137"/>
      <c r="S85" s="137"/>
      <c r="T85" s="137"/>
      <c r="U85" s="136"/>
      <c r="V85" s="136"/>
      <c r="W85" s="16"/>
      <c r="X85" s="16"/>
      <c r="Y85" s="16"/>
      <c r="Z85" s="16"/>
      <c r="AA85" s="16"/>
      <c r="AB85" s="16"/>
      <c r="AC85" s="16"/>
      <c r="AD85" s="16"/>
      <c r="AE85" s="16"/>
      <c r="AF85" s="16"/>
    </row>
    <row r="86" spans="1:32">
      <c r="A86" s="16"/>
      <c r="B86" s="16"/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/>
      <c r="O86" s="136"/>
      <c r="P86" s="136"/>
      <c r="Q86" s="136"/>
      <c r="R86" s="136"/>
      <c r="S86" s="136"/>
      <c r="T86" s="136"/>
      <c r="U86" s="136"/>
      <c r="V86" s="136"/>
      <c r="W86" s="16"/>
      <c r="X86" s="16"/>
      <c r="Y86" s="16"/>
      <c r="Z86" s="16"/>
      <c r="AA86" s="16"/>
      <c r="AB86" s="16"/>
      <c r="AC86" s="16"/>
      <c r="AD86" s="16"/>
      <c r="AE86" s="16"/>
      <c r="AF86" s="16"/>
    </row>
    <row r="87" spans="1:32">
      <c r="A87" s="16"/>
      <c r="B87" s="16"/>
      <c r="C87" s="136"/>
      <c r="D87" s="136"/>
      <c r="E87" s="136"/>
      <c r="F87" s="136"/>
      <c r="G87" s="136"/>
      <c r="H87" s="136"/>
      <c r="I87" s="136"/>
      <c r="J87" s="136"/>
      <c r="K87" s="136"/>
      <c r="L87" s="136"/>
      <c r="M87" s="136"/>
      <c r="N87" s="136"/>
      <c r="O87" s="136"/>
      <c r="P87" s="136"/>
      <c r="Q87" s="136"/>
      <c r="R87" s="136"/>
      <c r="S87" s="136"/>
      <c r="T87" s="136"/>
      <c r="U87" s="136"/>
      <c r="V87" s="136"/>
      <c r="W87" s="16"/>
      <c r="X87" s="16"/>
      <c r="Y87" s="16"/>
      <c r="Z87" s="16"/>
      <c r="AA87" s="16"/>
      <c r="AB87" s="16"/>
      <c r="AC87" s="16"/>
      <c r="AD87" s="16"/>
      <c r="AE87" s="16"/>
      <c r="AF87" s="16"/>
    </row>
    <row r="88" spans="1:32">
      <c r="C88" s="29"/>
    </row>
    <row r="91" spans="1:32" ht="19.5">
      <c r="C91" s="30"/>
    </row>
    <row r="92" spans="1:32" ht="19.5">
      <c r="C92" s="30"/>
    </row>
    <row r="93" spans="1:32" ht="19.5">
      <c r="C93" s="30"/>
    </row>
    <row r="94" spans="1:32" ht="19.5">
      <c r="C94" s="30"/>
    </row>
    <row r="95" spans="1:32" ht="19.5">
      <c r="C95" s="30"/>
    </row>
    <row r="96" spans="1:32" ht="19.5">
      <c r="C96" s="30"/>
    </row>
    <row r="97" spans="3:3" ht="19.5">
      <c r="C97" s="30"/>
    </row>
  </sheetData>
  <mergeCells count="539">
    <mergeCell ref="AA48:AB48"/>
    <mergeCell ref="Y49:Z49"/>
    <mergeCell ref="AA49:AB49"/>
    <mergeCell ref="W43:X44"/>
    <mergeCell ref="AA52:AB52"/>
    <mergeCell ref="N62:O62"/>
    <mergeCell ref="J62:K62"/>
    <mergeCell ref="J61:K61"/>
    <mergeCell ref="D62:E62"/>
    <mergeCell ref="Y50:Z50"/>
    <mergeCell ref="AA50:AB50"/>
    <mergeCell ref="U46:V46"/>
    <mergeCell ref="W46:X46"/>
    <mergeCell ref="U43:V44"/>
    <mergeCell ref="U45:V45"/>
    <mergeCell ref="W45:X45"/>
    <mergeCell ref="L57:M58"/>
    <mergeCell ref="AC42:AF42"/>
    <mergeCell ref="AC43:AC44"/>
    <mergeCell ref="AD43:AD44"/>
    <mergeCell ref="AE43:AE44"/>
    <mergeCell ref="AF43:AF44"/>
    <mergeCell ref="U42:AB42"/>
    <mergeCell ref="Y51:Z51"/>
    <mergeCell ref="AA51:AB51"/>
    <mergeCell ref="Y45:Z45"/>
    <mergeCell ref="AA45:AB45"/>
    <mergeCell ref="Y46:Z46"/>
    <mergeCell ref="AA46:AB46"/>
    <mergeCell ref="Y47:Z47"/>
    <mergeCell ref="AA47:AB47"/>
    <mergeCell ref="Y43:Z44"/>
    <mergeCell ref="AA43:AB44"/>
    <mergeCell ref="Y48:Z48"/>
    <mergeCell ref="U51:V51"/>
    <mergeCell ref="W51:X51"/>
    <mergeCell ref="U48:V48"/>
    <mergeCell ref="W48:X48"/>
    <mergeCell ref="U49:V49"/>
    <mergeCell ref="U47:V47"/>
    <mergeCell ref="W47:X47"/>
    <mergeCell ref="B84:D84"/>
    <mergeCell ref="U52:V52"/>
    <mergeCell ref="W52:X52"/>
    <mergeCell ref="W49:X49"/>
    <mergeCell ref="B67:AE67"/>
    <mergeCell ref="L60:M60"/>
    <mergeCell ref="B49:L49"/>
    <mergeCell ref="B50:L50"/>
    <mergeCell ref="M49:N49"/>
    <mergeCell ref="O49:P49"/>
    <mergeCell ref="Q49:R49"/>
    <mergeCell ref="S49:T49"/>
    <mergeCell ref="Q51:R51"/>
    <mergeCell ref="S51:T51"/>
    <mergeCell ref="AA60:AF60"/>
    <mergeCell ref="V59:Z59"/>
    <mergeCell ref="U50:V50"/>
    <mergeCell ref="W50:X50"/>
    <mergeCell ref="Y52:Z52"/>
    <mergeCell ref="M50:N50"/>
    <mergeCell ref="O50:P50"/>
    <mergeCell ref="N64:O64"/>
    <mergeCell ref="N59:O59"/>
    <mergeCell ref="P61:Q61"/>
    <mergeCell ref="AA37:AB37"/>
    <mergeCell ref="S38:T38"/>
    <mergeCell ref="S33:T33"/>
    <mergeCell ref="S39:T39"/>
    <mergeCell ref="W39:X39"/>
    <mergeCell ref="Y39:Z39"/>
    <mergeCell ref="AA39:AB39"/>
    <mergeCell ref="Y38:Z38"/>
    <mergeCell ref="AA38:AB38"/>
    <mergeCell ref="W36:X36"/>
    <mergeCell ref="Y36:Z36"/>
    <mergeCell ref="AA36:AB36"/>
    <mergeCell ref="W38:X38"/>
    <mergeCell ref="S37:T37"/>
    <mergeCell ref="U38:V38"/>
    <mergeCell ref="AA31:AB32"/>
    <mergeCell ref="S31:T32"/>
    <mergeCell ref="W31:X32"/>
    <mergeCell ref="Y31:Z32"/>
    <mergeCell ref="M35:N35"/>
    <mergeCell ref="M36:N36"/>
    <mergeCell ref="O31:P32"/>
    <mergeCell ref="O36:P36"/>
    <mergeCell ref="Q36:R36"/>
    <mergeCell ref="Q33:R33"/>
    <mergeCell ref="S36:T36"/>
    <mergeCell ref="Q35:R35"/>
    <mergeCell ref="S35:T35"/>
    <mergeCell ref="U31:V32"/>
    <mergeCell ref="U33:V33"/>
    <mergeCell ref="U35:V35"/>
    <mergeCell ref="U36:V36"/>
    <mergeCell ref="S34:T34"/>
    <mergeCell ref="AA35:AB35"/>
    <mergeCell ref="W35:X35"/>
    <mergeCell ref="Y35:Z35"/>
    <mergeCell ref="AA33:AB33"/>
    <mergeCell ref="U34:V34"/>
    <mergeCell ref="W34:X34"/>
    <mergeCell ref="M39:N39"/>
    <mergeCell ref="R21:V21"/>
    <mergeCell ref="R22:V22"/>
    <mergeCell ref="M31:N32"/>
    <mergeCell ref="M33:N33"/>
    <mergeCell ref="M34:N34"/>
    <mergeCell ref="S40:T40"/>
    <mergeCell ref="Q46:R46"/>
    <mergeCell ref="S46:T46"/>
    <mergeCell ref="O45:P45"/>
    <mergeCell ref="Q45:R45"/>
    <mergeCell ref="S45:T45"/>
    <mergeCell ref="M37:N37"/>
    <mergeCell ref="M38:N38"/>
    <mergeCell ref="Q68:S70"/>
    <mergeCell ref="L65:M65"/>
    <mergeCell ref="F61:G61"/>
    <mergeCell ref="N60:O60"/>
    <mergeCell ref="D56:E58"/>
    <mergeCell ref="J60:K60"/>
    <mergeCell ref="N57:O58"/>
    <mergeCell ref="P58:Q58"/>
    <mergeCell ref="J56:K58"/>
    <mergeCell ref="N68:P70"/>
    <mergeCell ref="H59:I59"/>
    <mergeCell ref="L62:M62"/>
    <mergeCell ref="L63:M63"/>
    <mergeCell ref="L64:M64"/>
    <mergeCell ref="D60:E60"/>
    <mergeCell ref="L59:M59"/>
    <mergeCell ref="F64:G64"/>
    <mergeCell ref="H62:I62"/>
    <mergeCell ref="J63:K63"/>
    <mergeCell ref="AA64:AF64"/>
    <mergeCell ref="AA63:AF63"/>
    <mergeCell ref="P57:U57"/>
    <mergeCell ref="T63:U63"/>
    <mergeCell ref="V63:Z63"/>
    <mergeCell ref="T64:U64"/>
    <mergeCell ref="V64:Z64"/>
    <mergeCell ref="V61:Z61"/>
    <mergeCell ref="AA59:AF59"/>
    <mergeCell ref="R59:S59"/>
    <mergeCell ref="T61:U61"/>
    <mergeCell ref="R63:S63"/>
    <mergeCell ref="R62:S62"/>
    <mergeCell ref="P59:Q59"/>
    <mergeCell ref="V60:Z60"/>
    <mergeCell ref="T60:U60"/>
    <mergeCell ref="P60:Q60"/>
    <mergeCell ref="R60:S60"/>
    <mergeCell ref="P64:Q64"/>
    <mergeCell ref="Y69:Z70"/>
    <mergeCell ref="W69:X70"/>
    <mergeCell ref="AA71:AB71"/>
    <mergeCell ref="W71:X71"/>
    <mergeCell ref="AA80:AB80"/>
    <mergeCell ref="Y79:Z79"/>
    <mergeCell ref="W79:X79"/>
    <mergeCell ref="T79:V79"/>
    <mergeCell ref="W78:X78"/>
    <mergeCell ref="AA77:AB77"/>
    <mergeCell ref="AA69:AB70"/>
    <mergeCell ref="W80:X80"/>
    <mergeCell ref="Y80:Z80"/>
    <mergeCell ref="T68:V70"/>
    <mergeCell ref="W68:AD68"/>
    <mergeCell ref="AC72:AD72"/>
    <mergeCell ref="AC69:AD70"/>
    <mergeCell ref="AC76:AD76"/>
    <mergeCell ref="T75:V75"/>
    <mergeCell ref="T74:V74"/>
    <mergeCell ref="B82:G82"/>
    <mergeCell ref="N82:Q82"/>
    <mergeCell ref="N83:Q83"/>
    <mergeCell ref="AC73:AD73"/>
    <mergeCell ref="AA74:AB74"/>
    <mergeCell ref="AC74:AD74"/>
    <mergeCell ref="T71:V71"/>
    <mergeCell ref="Y71:Z71"/>
    <mergeCell ref="AC75:AD75"/>
    <mergeCell ref="AA75:AB75"/>
    <mergeCell ref="Y75:Z75"/>
    <mergeCell ref="W75:X75"/>
    <mergeCell ref="W74:X74"/>
    <mergeCell ref="Y74:Z74"/>
    <mergeCell ref="AC71:AD71"/>
    <mergeCell ref="AA81:AB81"/>
    <mergeCell ref="Y76:Z76"/>
    <mergeCell ref="AA76:AB76"/>
    <mergeCell ref="W76:X76"/>
    <mergeCell ref="Q80:S80"/>
    <mergeCell ref="T80:V80"/>
    <mergeCell ref="A81:J81"/>
    <mergeCell ref="K81:M81"/>
    <mergeCell ref="N81:P81"/>
    <mergeCell ref="Q81:S81"/>
    <mergeCell ref="T81:V81"/>
    <mergeCell ref="W81:X81"/>
    <mergeCell ref="Y81:Z81"/>
    <mergeCell ref="Y77:Z77"/>
    <mergeCell ref="W77:X77"/>
    <mergeCell ref="B77:J77"/>
    <mergeCell ref="K77:M77"/>
    <mergeCell ref="N77:P77"/>
    <mergeCell ref="Q77:S77"/>
    <mergeCell ref="AC81:AD81"/>
    <mergeCell ref="AA73:AB73"/>
    <mergeCell ref="Y73:Z73"/>
    <mergeCell ref="W73:X73"/>
    <mergeCell ref="AC80:AD80"/>
    <mergeCell ref="B79:J79"/>
    <mergeCell ref="K79:M79"/>
    <mergeCell ref="Q76:S76"/>
    <mergeCell ref="T76:V76"/>
    <mergeCell ref="AA79:AB79"/>
    <mergeCell ref="AC79:AD79"/>
    <mergeCell ref="B80:J80"/>
    <mergeCell ref="K80:M80"/>
    <mergeCell ref="N80:P80"/>
    <mergeCell ref="Y78:Z78"/>
    <mergeCell ref="AA78:AB78"/>
    <mergeCell ref="AC78:AD78"/>
    <mergeCell ref="AC77:AD77"/>
    <mergeCell ref="N79:P79"/>
    <mergeCell ref="Q79:S79"/>
    <mergeCell ref="B74:J74"/>
    <mergeCell ref="K74:M74"/>
    <mergeCell ref="N74:P74"/>
    <mergeCell ref="Q74:S74"/>
    <mergeCell ref="B75:J75"/>
    <mergeCell ref="K75:M75"/>
    <mergeCell ref="N75:P75"/>
    <mergeCell ref="Q75:S75"/>
    <mergeCell ref="B78:J78"/>
    <mergeCell ref="K78:M78"/>
    <mergeCell ref="N78:P78"/>
    <mergeCell ref="Q78:S78"/>
    <mergeCell ref="T77:V77"/>
    <mergeCell ref="T78:V78"/>
    <mergeCell ref="B76:J76"/>
    <mergeCell ref="K76:M76"/>
    <mergeCell ref="N76:P76"/>
    <mergeCell ref="B72:J72"/>
    <mergeCell ref="K72:M72"/>
    <mergeCell ref="N72:P72"/>
    <mergeCell ref="Q72:S72"/>
    <mergeCell ref="T73:V73"/>
    <mergeCell ref="B73:J73"/>
    <mergeCell ref="K73:M73"/>
    <mergeCell ref="Y72:Z72"/>
    <mergeCell ref="AA72:AB72"/>
    <mergeCell ref="N73:P73"/>
    <mergeCell ref="Q73:S73"/>
    <mergeCell ref="T72:V72"/>
    <mergeCell ref="W72:X72"/>
    <mergeCell ref="B71:J71"/>
    <mergeCell ref="K71:M71"/>
    <mergeCell ref="N71:P71"/>
    <mergeCell ref="Q71:S71"/>
    <mergeCell ref="AA61:AF61"/>
    <mergeCell ref="T62:U62"/>
    <mergeCell ref="AA62:AF62"/>
    <mergeCell ref="R65:S65"/>
    <mergeCell ref="H65:I65"/>
    <mergeCell ref="V65:Z65"/>
    <mergeCell ref="V62:Z62"/>
    <mergeCell ref="AA65:AF65"/>
    <mergeCell ref="N65:O65"/>
    <mergeCell ref="J65:K65"/>
    <mergeCell ref="P65:Q65"/>
    <mergeCell ref="R61:S61"/>
    <mergeCell ref="N61:O61"/>
    <mergeCell ref="T65:U65"/>
    <mergeCell ref="H63:I63"/>
    <mergeCell ref="P62:Q62"/>
    <mergeCell ref="N63:O63"/>
    <mergeCell ref="P63:Q63"/>
    <mergeCell ref="R64:S64"/>
    <mergeCell ref="A65:E65"/>
    <mergeCell ref="A40:L40"/>
    <mergeCell ref="T58:U58"/>
    <mergeCell ref="R58:S58"/>
    <mergeCell ref="A51:L51"/>
    <mergeCell ref="A52:L52"/>
    <mergeCell ref="M43:N44"/>
    <mergeCell ref="O43:P44"/>
    <mergeCell ref="Q43:R44"/>
    <mergeCell ref="S43:T44"/>
    <mergeCell ref="A56:A58"/>
    <mergeCell ref="B48:L48"/>
    <mergeCell ref="H56:I58"/>
    <mergeCell ref="B46:L46"/>
    <mergeCell ref="B47:L47"/>
    <mergeCell ref="M42:T42"/>
    <mergeCell ref="O47:P47"/>
    <mergeCell ref="Q47:R47"/>
    <mergeCell ref="S47:T47"/>
    <mergeCell ref="Q50:R50"/>
    <mergeCell ref="O48:P48"/>
    <mergeCell ref="Q48:R48"/>
    <mergeCell ref="A68:A70"/>
    <mergeCell ref="B68:J70"/>
    <mergeCell ref="K68:M70"/>
    <mergeCell ref="M51:N51"/>
    <mergeCell ref="D63:E63"/>
    <mergeCell ref="M45:N45"/>
    <mergeCell ref="B56:C58"/>
    <mergeCell ref="D59:E59"/>
    <mergeCell ref="B60:C60"/>
    <mergeCell ref="M47:N47"/>
    <mergeCell ref="M46:N46"/>
    <mergeCell ref="B61:C61"/>
    <mergeCell ref="F56:G58"/>
    <mergeCell ref="M48:N48"/>
    <mergeCell ref="B45:L45"/>
    <mergeCell ref="D64:E64"/>
    <mergeCell ref="D61:E61"/>
    <mergeCell ref="B63:C63"/>
    <mergeCell ref="B64:C64"/>
    <mergeCell ref="H64:I64"/>
    <mergeCell ref="J64:K64"/>
    <mergeCell ref="F65:G65"/>
    <mergeCell ref="F63:G63"/>
    <mergeCell ref="F62:G62"/>
    <mergeCell ref="A30:A32"/>
    <mergeCell ref="B62:C62"/>
    <mergeCell ref="B33:L33"/>
    <mergeCell ref="B37:L37"/>
    <mergeCell ref="B36:L36"/>
    <mergeCell ref="H60:I60"/>
    <mergeCell ref="J59:K59"/>
    <mergeCell ref="A39:L39"/>
    <mergeCell ref="L61:M61"/>
    <mergeCell ref="M30:T30"/>
    <mergeCell ref="S48:T48"/>
    <mergeCell ref="M52:N52"/>
    <mergeCell ref="O52:P52"/>
    <mergeCell ref="Q52:R52"/>
    <mergeCell ref="S52:T52"/>
    <mergeCell ref="T59:U59"/>
    <mergeCell ref="H61:I61"/>
    <mergeCell ref="B59:C59"/>
    <mergeCell ref="F60:G60"/>
    <mergeCell ref="F59:G59"/>
    <mergeCell ref="U40:V40"/>
    <mergeCell ref="U37:V37"/>
    <mergeCell ref="B42:L44"/>
    <mergeCell ref="O51:P51"/>
    <mergeCell ref="N12:Q12"/>
    <mergeCell ref="O33:P33"/>
    <mergeCell ref="O34:P34"/>
    <mergeCell ref="O35:P35"/>
    <mergeCell ref="M40:N40"/>
    <mergeCell ref="G12:M12"/>
    <mergeCell ref="R25:V25"/>
    <mergeCell ref="O46:P46"/>
    <mergeCell ref="O37:P37"/>
    <mergeCell ref="O38:P38"/>
    <mergeCell ref="Q39:R39"/>
    <mergeCell ref="Q40:R40"/>
    <mergeCell ref="O40:P40"/>
    <mergeCell ref="O39:P39"/>
    <mergeCell ref="Q38:R38"/>
    <mergeCell ref="Q37:R37"/>
    <mergeCell ref="A26:V26"/>
    <mergeCell ref="B35:L35"/>
    <mergeCell ref="R23:V23"/>
    <mergeCell ref="D24:G24"/>
    <mergeCell ref="H24:Q24"/>
    <mergeCell ref="R24:V24"/>
    <mergeCell ref="Q34:R34"/>
    <mergeCell ref="A42:A44"/>
    <mergeCell ref="G10:M10"/>
    <mergeCell ref="D11:F11"/>
    <mergeCell ref="D10:F10"/>
    <mergeCell ref="G11:M11"/>
    <mergeCell ref="B22:C22"/>
    <mergeCell ref="B23:C23"/>
    <mergeCell ref="D23:G23"/>
    <mergeCell ref="H22:Q22"/>
    <mergeCell ref="H23:Q23"/>
    <mergeCell ref="D20:G20"/>
    <mergeCell ref="H20:Q20"/>
    <mergeCell ref="B21:C21"/>
    <mergeCell ref="D21:G21"/>
    <mergeCell ref="H21:Q21"/>
    <mergeCell ref="N11:Q11"/>
    <mergeCell ref="N10:Q10"/>
    <mergeCell ref="D12:F12"/>
    <mergeCell ref="B11:C11"/>
    <mergeCell ref="A13:M13"/>
    <mergeCell ref="B12:C12"/>
    <mergeCell ref="A17:A19"/>
    <mergeCell ref="D17:G19"/>
    <mergeCell ref="H17:Q19"/>
    <mergeCell ref="D22:G22"/>
    <mergeCell ref="B17:C19"/>
    <mergeCell ref="Y18:Z19"/>
    <mergeCell ref="R17:V19"/>
    <mergeCell ref="D25:G25"/>
    <mergeCell ref="H25:Q25"/>
    <mergeCell ref="B24:C24"/>
    <mergeCell ref="Q31:R32"/>
    <mergeCell ref="B25:C25"/>
    <mergeCell ref="R13:T13"/>
    <mergeCell ref="U13:W13"/>
    <mergeCell ref="X13:Z13"/>
    <mergeCell ref="B20:C20"/>
    <mergeCell ref="N13:Q13"/>
    <mergeCell ref="AE18:AF19"/>
    <mergeCell ref="AC18:AD19"/>
    <mergeCell ref="AA18:AB19"/>
    <mergeCell ref="AC20:AD20"/>
    <mergeCell ref="Y20:Z20"/>
    <mergeCell ref="R20:V20"/>
    <mergeCell ref="W20:X20"/>
    <mergeCell ref="AE20:AF20"/>
    <mergeCell ref="AA13:AC13"/>
    <mergeCell ref="AD11:AF11"/>
    <mergeCell ref="AA10:AC10"/>
    <mergeCell ref="AA11:AC11"/>
    <mergeCell ref="X9:Z9"/>
    <mergeCell ref="AA9:AC9"/>
    <mergeCell ref="R12:T12"/>
    <mergeCell ref="X12:Z12"/>
    <mergeCell ref="A5:A6"/>
    <mergeCell ref="U8:W8"/>
    <mergeCell ref="U6:W6"/>
    <mergeCell ref="N5:Q6"/>
    <mergeCell ref="N7:Q7"/>
    <mergeCell ref="R5:AF5"/>
    <mergeCell ref="AD6:AF6"/>
    <mergeCell ref="R7:T7"/>
    <mergeCell ref="B5:C6"/>
    <mergeCell ref="U7:W7"/>
    <mergeCell ref="X8:Z8"/>
    <mergeCell ref="X7:Z7"/>
    <mergeCell ref="X6:Z6"/>
    <mergeCell ref="AA7:AC7"/>
    <mergeCell ref="D5:F6"/>
    <mergeCell ref="D7:F7"/>
    <mergeCell ref="B10:C10"/>
    <mergeCell ref="AD7:AF7"/>
    <mergeCell ref="AA6:AC6"/>
    <mergeCell ref="U9:W9"/>
    <mergeCell ref="G7:M7"/>
    <mergeCell ref="G8:M8"/>
    <mergeCell ref="R8:T8"/>
    <mergeCell ref="B7:C7"/>
    <mergeCell ref="B8:C8"/>
    <mergeCell ref="N8:Q8"/>
    <mergeCell ref="G5:M6"/>
    <mergeCell ref="AD9:AF9"/>
    <mergeCell ref="AD8:AF8"/>
    <mergeCell ref="AA8:AC8"/>
    <mergeCell ref="D8:F8"/>
    <mergeCell ref="R6:T6"/>
    <mergeCell ref="B9:C9"/>
    <mergeCell ref="D9:F9"/>
    <mergeCell ref="G9:M9"/>
    <mergeCell ref="N9:Q9"/>
    <mergeCell ref="R9:T9"/>
    <mergeCell ref="AC30:AF30"/>
    <mergeCell ref="AD31:AD32"/>
    <mergeCell ref="AE31:AE32"/>
    <mergeCell ref="AF31:AF32"/>
    <mergeCell ref="AC31:AC32"/>
    <mergeCell ref="AA56:AF58"/>
    <mergeCell ref="AD55:AF55"/>
    <mergeCell ref="AA34:AB34"/>
    <mergeCell ref="U30:AB30"/>
    <mergeCell ref="W40:X40"/>
    <mergeCell ref="Y34:Z34"/>
    <mergeCell ref="V56:Z58"/>
    <mergeCell ref="W33:X33"/>
    <mergeCell ref="Y33:Z33"/>
    <mergeCell ref="L56:U56"/>
    <mergeCell ref="B38:L38"/>
    <mergeCell ref="AA40:AB40"/>
    <mergeCell ref="Y40:Z40"/>
    <mergeCell ref="B34:L34"/>
    <mergeCell ref="B30:L32"/>
    <mergeCell ref="S50:T50"/>
    <mergeCell ref="U39:V39"/>
    <mergeCell ref="W37:X37"/>
    <mergeCell ref="Y37:Z37"/>
    <mergeCell ref="AD1:AF1"/>
    <mergeCell ref="AD2:AF2"/>
    <mergeCell ref="AE25:AF25"/>
    <mergeCell ref="W26:X26"/>
    <mergeCell ref="Y26:Z26"/>
    <mergeCell ref="AC25:AD25"/>
    <mergeCell ref="AA26:AB26"/>
    <mergeCell ref="W22:X22"/>
    <mergeCell ref="AE21:AF21"/>
    <mergeCell ref="AA24:AB24"/>
    <mergeCell ref="AA23:AB23"/>
    <mergeCell ref="Y22:Z22"/>
    <mergeCell ref="Y24:Z24"/>
    <mergeCell ref="Y23:Z23"/>
    <mergeCell ref="AA22:AB22"/>
    <mergeCell ref="AC21:AD21"/>
    <mergeCell ref="AE24:AF24"/>
    <mergeCell ref="AC22:AD22"/>
    <mergeCell ref="AE22:AF22"/>
    <mergeCell ref="AC23:AD23"/>
    <mergeCell ref="AC24:AD24"/>
    <mergeCell ref="AD13:AF13"/>
    <mergeCell ref="AA25:AB25"/>
    <mergeCell ref="U12:W12"/>
    <mergeCell ref="R10:T10"/>
    <mergeCell ref="R11:T11"/>
    <mergeCell ref="W21:X21"/>
    <mergeCell ref="Y25:Z25"/>
    <mergeCell ref="W25:X25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U10:W10"/>
    <mergeCell ref="X10:Z10"/>
    <mergeCell ref="U11:W11"/>
    <mergeCell ref="X11:Z11"/>
    <mergeCell ref="W23:X23"/>
    <mergeCell ref="AA12:AC12"/>
    <mergeCell ref="AD12:AF12"/>
    <mergeCell ref="W17:AF17"/>
    <mergeCell ref="W18:X19"/>
    <mergeCell ref="W24:X24"/>
    <mergeCell ref="AD10:AF10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" evalError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14</vt:i4>
      </vt:variant>
    </vt:vector>
  </HeadingPairs>
  <TitlesOfParts>
    <vt:vector size="28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розшифровка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Машбюро</cp:lastModifiedBy>
  <cp:lastPrinted>2020-02-27T12:59:45Z</cp:lastPrinted>
  <dcterms:created xsi:type="dcterms:W3CDTF">2003-03-13T16:00:22Z</dcterms:created>
  <dcterms:modified xsi:type="dcterms:W3CDTF">2020-02-27T14:26:47Z</dcterms:modified>
</cp:coreProperties>
</file>